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docs.live.net/a5b0a9d8085dd976/Desktop/Documents/Laurent/Training IA/Agents IA/Projets IA vie personnelle/Placements financiers-master/"/>
    </mc:Choice>
  </mc:AlternateContent>
  <xr:revisionPtr revIDLastSave="0" documentId="11_C7308B2A3C7049A17CBE9522AEA44EC3B5B934DA" xr6:coauthVersionLast="47" xr6:coauthVersionMax="47" xr10:uidLastSave="{00000000-0000-0000-0000-000000000000}"/>
  <bookViews>
    <workbookView xWindow="-21720" yWindow="-3480" windowWidth="21840" windowHeight="13020" firstSheet="2" activeTab="3" xr2:uid="{00000000-000D-0000-FFFF-FFFF00000000}"/>
  </bookViews>
  <sheets>
    <sheet name="placements (enrichi)" sheetId="1" r:id="rId1"/>
    <sheet name="placements (enrichi) (2)" sheetId="2" r:id="rId2"/>
    <sheet name="Correlations marches" sheetId="3" r:id="rId3"/>
    <sheet name="GO-NOGO" sheetId="4" r:id="rId4"/>
    <sheet name="Audit qualite GO-NOGO" sheetId="5" r:id="rId5"/>
    <sheet name="Contexte marche" sheetId="6" r:id="rId6"/>
    <sheet name="definitions" sheetId="7" r:id="rId7"/>
    <sheet name="Support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9" i="6" l="1"/>
  <c r="G38" i="6"/>
  <c r="G34" i="6"/>
  <c r="G33" i="6"/>
  <c r="G32" i="6"/>
  <c r="G31" i="6"/>
  <c r="G27" i="6"/>
  <c r="G26" i="6"/>
  <c r="G25" i="6"/>
  <c r="G24" i="6"/>
  <c r="G23" i="6"/>
  <c r="G22" i="6"/>
  <c r="G21" i="6"/>
  <c r="G20" i="6"/>
  <c r="G19" i="6"/>
  <c r="G18" i="6"/>
  <c r="G17" i="6"/>
  <c r="G16" i="6"/>
  <c r="G15" i="6"/>
  <c r="G11" i="6"/>
  <c r="G10" i="6"/>
  <c r="G9" i="6"/>
  <c r="G8" i="6"/>
  <c r="E48" i="2"/>
  <c r="E33" i="2"/>
  <c r="D33" i="2"/>
  <c r="C33" i="2"/>
  <c r="D32" i="2"/>
  <c r="D31" i="2"/>
  <c r="C24" i="2"/>
  <c r="C25" i="2" s="1"/>
  <c r="D23" i="2"/>
  <c r="D5" i="2" s="1"/>
  <c r="C23" i="2"/>
  <c r="G22" i="2"/>
  <c r="E22" i="2"/>
  <c r="J21" i="2"/>
  <c r="J20" i="2"/>
  <c r="D20" i="2"/>
  <c r="D22" i="2" s="1"/>
  <c r="C20" i="2"/>
  <c r="C22" i="2" s="1"/>
  <c r="J19" i="2"/>
  <c r="J18" i="2"/>
  <c r="J17" i="2"/>
  <c r="G16" i="2"/>
  <c r="D16" i="2"/>
  <c r="C16" i="2"/>
  <c r="J15" i="2"/>
  <c r="J10" i="2"/>
  <c r="I10" i="2"/>
  <c r="H10" i="2"/>
  <c r="I8" i="2"/>
  <c r="H8" i="2"/>
  <c r="C7" i="2"/>
  <c r="G5" i="2"/>
  <c r="E64" i="1"/>
  <c r="E36" i="1"/>
  <c r="D36" i="1"/>
  <c r="C36" i="1"/>
  <c r="D35" i="1"/>
  <c r="D34" i="1"/>
  <c r="C27" i="1"/>
  <c r="C28" i="1" s="1"/>
  <c r="D26" i="1"/>
  <c r="D5" i="1" s="1"/>
  <c r="C26" i="1"/>
  <c r="J23" i="1"/>
  <c r="G22" i="1"/>
  <c r="J21" i="1"/>
  <c r="J20" i="1"/>
  <c r="J19" i="1"/>
  <c r="G18" i="1"/>
  <c r="E18" i="1"/>
  <c r="J17" i="1"/>
  <c r="J16" i="1"/>
  <c r="J15" i="1"/>
  <c r="J14" i="1"/>
  <c r="J13" i="1"/>
  <c r="D13" i="1"/>
  <c r="D18" i="1" s="1"/>
  <c r="C13" i="1"/>
  <c r="C18" i="1" s="1"/>
  <c r="G12" i="1"/>
  <c r="D12" i="1"/>
  <c r="I10" i="1"/>
  <c r="H10" i="1"/>
  <c r="I8" i="1"/>
  <c r="C46" i="1" s="1"/>
  <c r="H8" i="1"/>
  <c r="C7" i="1"/>
  <c r="C12" i="1" s="1"/>
  <c r="G5" i="1"/>
  <c r="D35" i="4"/>
  <c r="E26" i="4"/>
  <c r="C26" i="4"/>
  <c r="C23" i="4"/>
  <c r="E23" i="4" s="1"/>
  <c r="E20" i="4"/>
  <c r="E19" i="4"/>
  <c r="E18" i="4"/>
  <c r="G13" i="4"/>
  <c r="I13" i="4" s="1"/>
  <c r="F13" i="4"/>
  <c r="H13" i="4" s="1"/>
  <c r="G12" i="4"/>
  <c r="I12" i="4" s="1"/>
  <c r="F12" i="4"/>
  <c r="H12" i="4" s="1"/>
  <c r="G11" i="4"/>
  <c r="I11" i="4" s="1"/>
  <c r="F11" i="4"/>
  <c r="H11" i="4" s="1"/>
  <c r="G10" i="4"/>
  <c r="I10" i="4" s="1"/>
  <c r="F10" i="4"/>
  <c r="H10" i="4" s="1"/>
  <c r="G9" i="4"/>
  <c r="I9" i="4" s="1"/>
  <c r="F9" i="4"/>
  <c r="H9" i="4" s="1"/>
  <c r="G8" i="4"/>
  <c r="I8" i="4" s="1"/>
  <c r="F8" i="4"/>
  <c r="H8" i="4" s="1"/>
  <c r="C29" i="1" l="1"/>
  <c r="E26" i="1"/>
  <c r="E5" i="1" s="1"/>
  <c r="J8" i="2"/>
  <c r="C64" i="1"/>
  <c r="C26" i="2"/>
  <c r="J10" i="1"/>
  <c r="D27" i="1"/>
  <c r="D28" i="1" s="1"/>
  <c r="D29" i="1" s="1"/>
  <c r="D31" i="1" s="1"/>
  <c r="D32" i="1" s="1"/>
  <c r="D33" i="1" s="1"/>
  <c r="D37" i="1" s="1"/>
  <c r="I34" i="2"/>
  <c r="E55" i="2" s="1"/>
  <c r="F57" i="2" s="1"/>
  <c r="E71" i="1"/>
  <c r="F73" i="1" s="1"/>
  <c r="E74" i="1"/>
  <c r="E72" i="1"/>
  <c r="C31" i="1"/>
  <c r="E30" i="4"/>
  <c r="D30" i="4"/>
  <c r="C30" i="4"/>
  <c r="E29" i="4"/>
  <c r="D29" i="4"/>
  <c r="C29" i="4"/>
  <c r="C28" i="2"/>
  <c r="F15" i="1"/>
  <c r="E11" i="1"/>
  <c r="E10" i="1"/>
  <c r="F10" i="1" s="1"/>
  <c r="E6" i="1"/>
  <c r="E58" i="2"/>
  <c r="F16" i="1"/>
  <c r="F5" i="1"/>
  <c r="E9" i="1"/>
  <c r="F9" i="1" s="1"/>
  <c r="F17" i="1"/>
  <c r="C60" i="1"/>
  <c r="J8" i="1"/>
  <c r="C48" i="2"/>
  <c r="E23" i="2"/>
  <c r="E5" i="2" s="1"/>
  <c r="F17" i="2" s="1"/>
  <c r="E7" i="1"/>
  <c r="D24" i="2"/>
  <c r="D25" i="2" s="1"/>
  <c r="D26" i="2" s="1"/>
  <c r="F7" i="1"/>
  <c r="F14" i="1"/>
  <c r="E8" i="1"/>
  <c r="F13" i="1"/>
  <c r="F8" i="1"/>
  <c r="F11" i="1"/>
  <c r="C44" i="2"/>
  <c r="E56" i="2" l="1"/>
  <c r="F5" i="2"/>
  <c r="E9" i="2"/>
  <c r="F9" i="2"/>
  <c r="F21" i="2"/>
  <c r="E44" i="2"/>
  <c r="C45" i="2"/>
  <c r="C46" i="2"/>
  <c r="E8" i="2"/>
  <c r="D28" i="2"/>
  <c r="D29" i="2" s="1"/>
  <c r="D30" i="2" s="1"/>
  <c r="D34" i="2" s="1"/>
  <c r="E10" i="2"/>
  <c r="F10" i="2" s="1"/>
  <c r="E6" i="2"/>
  <c r="E11" i="2"/>
  <c r="F11" i="2" s="1"/>
  <c r="E7" i="2"/>
  <c r="F7" i="2" s="1"/>
  <c r="E60" i="1"/>
  <c r="C61" i="1" s="1"/>
  <c r="F18" i="2"/>
  <c r="C32" i="1"/>
  <c r="F6" i="1"/>
  <c r="F12" i="1" s="1"/>
  <c r="E35" i="1"/>
  <c r="E12" i="1"/>
  <c r="F19" i="2"/>
  <c r="F20" i="2"/>
  <c r="E34" i="1"/>
  <c r="D33" i="4"/>
  <c r="F18" i="1"/>
  <c r="E27" i="1"/>
  <c r="E28" i="1" s="1"/>
  <c r="E29" i="1" s="1"/>
  <c r="C29" i="2"/>
  <c r="F22" i="2" l="1"/>
  <c r="E24" i="2"/>
  <c r="E25" i="2" s="1"/>
  <c r="E26" i="2" s="1"/>
  <c r="F8" i="2"/>
  <c r="C47" i="2"/>
  <c r="C33" i="1"/>
  <c r="C37" i="1" s="1"/>
  <c r="E31" i="1"/>
  <c r="F31" i="1" s="1"/>
  <c r="F29" i="1"/>
  <c r="F28" i="1" s="1"/>
  <c r="F27" i="1" s="1"/>
  <c r="C44" i="1" s="1"/>
  <c r="C62" i="1"/>
  <c r="C63" i="1" s="1"/>
  <c r="C30" i="2"/>
  <c r="C34" i="2" s="1"/>
  <c r="E31" i="2"/>
  <c r="E32" i="2"/>
  <c r="E16" i="2"/>
  <c r="F6" i="2"/>
  <c r="E32" i="1" l="1"/>
  <c r="E33" i="1" s="1"/>
  <c r="E37" i="1" s="1"/>
  <c r="F16" i="2"/>
  <c r="C47" i="1"/>
  <c r="D46" i="1"/>
  <c r="F32" i="1"/>
  <c r="E28" i="2"/>
  <c r="F28" i="2" s="1"/>
  <c r="F26" i="2"/>
  <c r="F25" i="2" s="1"/>
  <c r="F24" i="2" s="1"/>
  <c r="J34" i="2" s="1"/>
  <c r="E29" i="2" l="1"/>
  <c r="F33" i="1"/>
  <c r="F34" i="1"/>
  <c r="F35" i="1"/>
  <c r="C45" i="1" l="1"/>
  <c r="F37" i="1"/>
  <c r="C50" i="1"/>
  <c r="C52" i="1"/>
  <c r="E30" i="2"/>
  <c r="E34" i="2" s="1"/>
  <c r="F29" i="2"/>
  <c r="C71" i="1" l="1"/>
  <c r="C51" i="1"/>
  <c r="F30" i="2"/>
  <c r="F32" i="2"/>
  <c r="F31" i="2"/>
  <c r="F34" i="2" l="1"/>
  <c r="D72" i="1"/>
  <c r="D74" i="1"/>
  <c r="D73" i="1"/>
  <c r="H34" i="2" l="1"/>
  <c r="C55" i="2"/>
  <c r="D58" i="2" l="1"/>
  <c r="D57" i="2"/>
  <c r="D5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laurent perier</author>
  </authors>
  <commentList>
    <comment ref="B14" authorId="0" shapeId="0" xr:uid="{00000000-0006-0000-0000-000001000000}">
      <text>
        <r>
          <rPr>
            <sz val="10"/>
            <rFont val="Arial"/>
            <family val="2"/>
          </rPr>
          <t xml:space="preserve">USA 2/3
</t>
        </r>
      </text>
    </comment>
    <comment ref="C30" authorId="0" shapeId="0" xr:uid="{00000000-0006-0000-0000-000002000000}">
      <text>
        <r>
          <rPr>
            <sz val="10"/>
            <rFont val="Arial"/>
            <family val="2"/>
          </rPr>
          <t xml:space="preserve">flat tax
</t>
        </r>
      </text>
    </comment>
    <comment ref="D30" authorId="0" shapeId="0" xr:uid="{00000000-0006-0000-0000-000003000000}">
      <text>
        <r>
          <rPr>
            <sz val="10"/>
            <rFont val="Arial"/>
            <family val="2"/>
          </rPr>
          <t xml:space="preserve">Prelevements Sociaux
Impots Revenu
</t>
        </r>
      </text>
    </comment>
    <comment ref="E30" authorId="0" shapeId="0" xr:uid="{00000000-0006-0000-0000-000004000000}">
      <text>
        <r>
          <rPr>
            <sz val="10"/>
            <rFont val="Arial"/>
            <family val="2"/>
          </rPr>
          <t xml:space="preserve">seuil annuel 4.6k€
</t>
        </r>
      </text>
    </comment>
    <comment ref="F35" authorId="0" shapeId="0" xr:uid="{00000000-0006-0000-0000-000005000000}">
      <text>
        <r>
          <rPr>
            <sz val="10"/>
            <rFont val="Arial"/>
            <family val="2"/>
          </rPr>
          <t xml:space="preserve">USA &gt; 2% (tariff/energy/GDP), EU &lt; 2%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laurent perier</author>
  </authors>
  <commentList>
    <comment ref="J4" authorId="0" shapeId="0" xr:uid="{00000000-0006-0000-0100-000001000000}">
      <text>
        <r>
          <rPr>
            <sz val="10"/>
            <rFont val="Arial"/>
            <family val="2"/>
          </rPr>
          <t xml:space="preserve">Points de rendement excedentaire (vs 1.7% sans risque) par point de risque pris
</t>
        </r>
      </text>
    </comment>
    <comment ref="B17" authorId="0" shapeId="0" xr:uid="{00000000-0006-0000-0100-000002000000}">
      <text>
        <r>
          <rPr>
            <sz val="10"/>
            <rFont val="Arial"/>
            <family val="2"/>
          </rPr>
          <t xml:space="preserve">USA 2/3
</t>
        </r>
      </text>
    </comment>
    <comment ref="C27" authorId="0" shapeId="0" xr:uid="{00000000-0006-0000-0100-000003000000}">
      <text>
        <r>
          <rPr>
            <sz val="10"/>
            <rFont val="Arial"/>
            <family val="2"/>
          </rPr>
          <t xml:space="preserve">flat tax
</t>
        </r>
      </text>
    </comment>
    <comment ref="D27" authorId="0" shapeId="0" xr:uid="{00000000-0006-0000-0100-000004000000}">
      <text>
        <r>
          <rPr>
            <sz val="10"/>
            <rFont val="Arial"/>
            <family val="2"/>
          </rPr>
          <t xml:space="preserve">Prelevements Sociaux
Impots Revenu
</t>
        </r>
      </text>
    </comment>
    <comment ref="E27" authorId="0" shapeId="0" xr:uid="{00000000-0006-0000-0100-000005000000}">
      <text>
        <r>
          <rPr>
            <sz val="10"/>
            <rFont val="Arial"/>
            <family val="2"/>
          </rPr>
          <t xml:space="preserve">seuil annuel 4.6k€
</t>
        </r>
      </text>
    </comment>
    <comment ref="F32" authorId="0" shapeId="0" xr:uid="{00000000-0006-0000-0100-000006000000}">
      <text>
        <r>
          <rPr>
            <sz val="10"/>
            <rFont val="Arial"/>
            <family val="2"/>
          </rPr>
          <t xml:space="preserve">USA &gt; 2% (tariff/energy/GDP), EU &lt; 2%
</t>
        </r>
      </text>
    </comment>
  </commentList>
</comments>
</file>

<file path=xl/sharedStrings.xml><?xml version="1.0" encoding="utf-8"?>
<sst xmlns="http://schemas.openxmlformats.org/spreadsheetml/2006/main" count="475" uniqueCount="320">
  <si>
    <t>GO / NOGO — décision d'investissement (méthode utilisateur, règles mécaniques)</t>
  </si>
  <si>
    <t>AVERTISSEMENT : outil mecanique base sur des seuils que vous avez definis vous-meme -- pas un conseil en investissement personnalise, pas une garantie de performance future. Les indicateurs techniques et macro (tendances, volatilite, courbe des taux, P/E) sont des heuristiques, pas des certitudes. A mettre a jour manuellement (aucune connexion de donnees live dans ce classeur) a chaque utilisation.</t>
  </si>
  <si>
    <t>Date de mise à jour des données</t>
  </si>
  <si>
    <t>1) Tendance 1 mois / 3 mois positive sur 6 indices</t>
  </si>
  <si>
    <t xml:space="preserve">seuil: </t>
  </si>
  <si>
    <t>Indice</t>
  </si>
  <si>
    <t>Prix actuel</t>
  </si>
  <si>
    <t>Prix -1 mois</t>
  </si>
  <si>
    <t>Prix -3 mois</t>
  </si>
  <si>
    <t>Variation 1m</t>
  </si>
  <si>
    <t>Variation 3m</t>
  </si>
  <si>
    <t>OK 1m</t>
  </si>
  <si>
    <t>OK 3m</t>
  </si>
  <si>
    <t>DJ (Dow Jones, US)</t>
  </si>
  <si>
    <t>NASDAQ (US)</t>
  </si>
  <si>
    <t>BSE Sensex (India)</t>
  </si>
  <si>
    <t>CAC 40 (France)</t>
  </si>
  <si>
    <t>SSE Composite (Shanghai, Chine)</t>
  </si>
  <si>
    <t>Nikkei 225 (Japon)</t>
  </si>
  <si>
    <t>Variation = Prix actuel / Prix N mois avant - 1. OK si strictement positif. Saisir les 3 prix manuellement (cours de cloture, meme source pour les 3 points).</t>
  </si>
  <si>
    <t>2) Indicateurs macro / volatilité</t>
  </si>
  <si>
    <t>Indicateur</t>
  </si>
  <si>
    <t>Valeur actuelle</t>
  </si>
  <si>
    <t>Seuil</t>
  </si>
  <si>
    <t>OK</t>
  </si>
  <si>
    <t>MOVE Index (volatilité obligataire US)</t>
  </si>
  <si>
    <t>VIX (volatilité actions US)</t>
  </si>
  <si>
    <t>P/E S&amp;P 500</t>
  </si>
  <si>
    <t>US Treasury yield 10 ans</t>
  </si>
  <si>
    <t>US Treasury yield 2 ans</t>
  </si>
  <si>
    <t>Spread 10y-2y (courbe des taux)</t>
  </si>
  <si>
    <t>Spread crédit Baa-Treasury (actuel)</t>
  </si>
  <si>
    <t>Spread crédit Baa-Treasury (-6 mois)</t>
  </si>
  <si>
    <t>Variation spread crédit (6 mois)</t>
  </si>
  <si>
    <t>3) Verdict</t>
  </si>
  <si>
    <t>Tendance : OK / NOK / vide (sur 12)</t>
  </si>
  <si>
    <t>Macro : OK / NOK / vide (sur 5)</t>
  </si>
  <si>
    <t>Seuil de tolerance tendance (NOK autorises avant NOGO)</t>
  </si>
  <si>
    <t>(majorite : 9/12 OK minimum requis)</t>
  </si>
  <si>
    <t>DÉCISION</t>
  </si>
  <si>
    <t>4) Vigilance (indicateur avancé, hors vote GO/NOGO -- signal informatif seul)</t>
  </si>
  <si>
    <t>Courbe des taux (10y-2y) inversée à un moment dans les 9 derniers mois ?</t>
  </si>
  <si>
    <t>Logique : macro (MOVE/VIX/P.E/spread) reste ET strict -- 1 seul NOK =&gt; NOGO (signal direct de stress marche). Tendance (6 indices x 1m/3m = 12) passe en MAJORITE -- jusqu'a 3 NOK tolerees (9/12 OK minimum) avant NOGO, tolerance ajustee proportionnellement (etait 2/8) apres l'ajout de SSE Composite et Nikkei 225. Seuils tendance : -6% (1m) / -4% (3m).</t>
  </si>
  <si>
    <t>Niveau de filtrage estime (simulation Monte Carlo, rendements gaussiens correles ~0.45 entre les 6 indices -- plus bas qu'avant l'ajout car SSE/Nikkei sont moins correles au reste, cf. matrice de correlation, nouvel onglet) : avec les seuils -6%/-4% et la logique majoritaire 9/12, probabilite de NOGO 'faux positif' en marche normal ~8% (tolerance 3/12) -- similaire au ~10% estime avec 4 indices/tolerance 2/8, la proportionnalite a bien ete preservee. Les vraies crises restent detectees sans ambiguite (replis historiques 10 a 30x superieurs aux seuils, touchant tous les indices simultanement).</t>
  </si>
  <si>
    <t>BACKTEST HISTORIQUE REEL (pas une simulation) : donnees mensuelles 2005-2026 (21.4 ans, 257 mois, 6 indices, source investing.com) rejouees avec les seuils/logique actuels (-6%/-4%, majorite 9/12). Resultat : 44 mois auraient declenche NOGO (17.1%). Recoupement avec l'historique des marches : Mai-Juin 2006 (correction taux/inflation), Nov 2007-Fev 2009 (crise financiere 2008, 13 mois), Mai-Aout 2010 et Juil-Nov 2011 (dette souveraine europeenne), Mai-Juin 2012 (crise eurozone Grece/Espagne), Aout-Sept 2015 (krach chinois/devaluation yuan), Jan-Fev 2016 (selloff mondial Chine/petrole), Oct-Dec 2018 (correction Fed/guerre commerciale), Mai 2019 (guerre commerciale US-Chine), Fev-Avr 2020 (krach COVID), 5 mois en 2022 (marche baissier taux/inflation/Ukraine), Oct 2023 (guerre Israel-Hamas), Avr 2025 et Mars 2026 (evenements recents, confiance de verification moindre -- hors fenetre de sources solides). AUCUN des 44 mois flagges n'est sans cause identifiable -- le taux de 'vrai' faux-NOGO (declenchement sans evenement de marche reel) semble proche de zero sur cette periode. Limite : classification par recoupement avec des evenements connus, pas une verification independante evenement-par-evenement pour chacun des 44 mois.</t>
  </si>
  <si>
    <t xml:space="preserve">TEST DU KHI2 (hypothese de diversification / independance des echecs) : </t>
  </si>
  <si>
    <t>sur les memes 257 mois, distribution du nombre d'echecs simultanes (0 a 12) comparee a la distribution attendue si les 12 criteres echouaient INDEPENDAMMENT (loi de Poisson-binomiale, probabilites individuelles = taux d'echec historique reel de chaque critere). Regroupe en 6 classes (0,1,2,3,4,&gt;=5) pour respecter la regle des effectifs attendus &gt;=5. Resultat : khi2=434.83, ddl=5, p=9.2e-92 -- rejet massif de l'independance. 0 echec simultane : 120 mois observes vs 35 attendus (bien plus de mois 'calmes' que le hasard). 5+ echecs simultanes : 36 mois observes vs 5.5 attendus (bien plus de mois 'stress generalise' que le hasard). Confirme formellement que les echecs se regroupent (crise =&gt; la plupart des indices tombent ensemble ; calme =&gt; la plupart restent OK ensemble) plutot que d'etre independants -- valide la logique du seuil majoritaire 9/12 : un vrai choc systemique le franchit sans ambiguite, du bruit independant ne le pourrait presque jamais.</t>
  </si>
  <si>
    <t>Analyse precision/complexite (2026-08-12) -- NON APPLIQUEE, reference seule</t>
  </si>
  <si>
    <t>Config</t>
  </si>
  <si>
    <t>Critères</t>
  </si>
  <si>
    <t>Prix à saisir</t>
  </si>
  <si>
    <t>Rappel</t>
  </si>
  <si>
    <t>Précision</t>
  </si>
  <si>
    <t>F1</t>
  </si>
  <si>
    <t>Actuel (6 indices x 1m+3m, tol 3/12)</t>
  </si>
  <si>
    <t>4 indices origine x 1m+3m, tol 2/8</t>
  </si>
  <si>
    <t>6 indices x 3m seul, tol 2/6</t>
  </si>
  <si>
    <t>4 indices origine x 3m seul, tol 1/4</t>
  </si>
  <si>
    <t>3 indices (NASDAQ/CAC/SSE) x 3m seul, tol 1/3</t>
  </si>
  <si>
    <t>Methode : grille testee sur les 257 mois historiques (2005-2026, meme base que le backtest et le khi2) contre une liste de mois de crise DEFINIE INDEPENDAMMENT de la formule de detection (episodes historiques documentes -- 2008, dette souveraine europeenne 2010-2012, krach chinois 2015, selloff janvier 2016, correction Q4 2018, COVID 2020, marche baissier 2022, etc. -- 49 mois). Rappel = part des mois de crise correctement detectes. Precision = part des mois signales NOGO qui sont vraiment des crises. F1 = moyenne harmonique des deux (penalise un desequilibre entre rappel et precision).</t>
  </si>
  <si>
    <t>Recommandation (non appliquee, decision de l'utilisateur de garder la config actuelle pour l'instant) : '6 indices x 3 mois seul, tolerance 2/6' (ligne surlignee) -- divise la complexite par 2 (12 criteres -&gt; 6, 18 prix a saisir -&gt; 12) pour une perte de F1 modeste (0.95 -&gt; 0.87), tout en gardant les 6 zones geographiques (contrairement aux options a 3-4 indices qui abandonnent Chine/Japon -- la lacune de couverture identifiee par la matrice de correlation). Compromis a connaitre : supprimer le critere 1 mois rend l'outil moins reactif a un choc rapide qui se resorbe en 1-2 semaines (seul le critere 3 mois le detecterait, avec un decalage).</t>
  </si>
  <si>
    <t>5) Indicateurs avances -- methode, seuils et tests (ajoutes 2026-08-12)</t>
  </si>
  <si>
    <t>COURBE DES TAUX (ligne 35, vigilance separee) -- Seuil : inversee (spread 10y-2y &lt; 0) a un moment quelconque dans les 9 derniers mois. Pourquoi 9 mois : couvre les 3 delais reels observes historiquement (dot-com 1.7 mois, GFC 6 mois via la re-inversion de mi-2007, COVID 6 mois) avec une marge. Pourquoi VIGILANCE SEPAREE et non fusionnee au vote : teste -- fusionner comme critere supplementaire (OU logique) ne gagne que +2 points de rappel (89.8%-&gt;91.8%) pour un cout enorme en precision (100%-&gt;43.7%), a cause de l'inversion 2022-2025 (33 mois consecutifs, l'une des plus longues de l'histoire) qui n'a pas ete suivie d'un crash pendant la majeure partie de cette periode (2023-2024 a ete un marche haussier). Saisie manuelle : verifier si le spread 10y-2y (ligne 23) est passe sous 0 a un moment des 9 derniers mois (source : investing.com ou FRED, serie 10Y-2Y).</t>
  </si>
  <si>
    <t>SPREAD CREDIT (lignes 24-26, 5e critere macro, ET strict comme les autres) -- Seuil : elargissement &gt;= 0.5 point sur 6 mois. Proxy utilise : Moody's Baa - Treasury 10 ans (FRED, serie BAA10Y, historique complet 1986-2026) -- PAS le vrai spread High Yield vs Investment Grade demande initialement (la serie FRED correspondante, ICE BofA HY OAS, a ete tronquee a 3 ans d'historique par la source en avril 2026, licence -- non exploitable pour un backtest). Le proxy Baa-Treasury mesure un risque de credit proche mais moins extreme (entreprises 'correctes', pas les plus risquees) -- le vrai signal HY-IG reagirait probablement plus tot et plus fort, non verifie ici.</t>
  </si>
  <si>
    <t>Test vrai/faux positifs (fusion OU avec le vote actuel, 257 mois 2005-2026, seuil calibre N=6mois/+0.5pt) : rappel 89.8%-&gt;98.0% (rattrape 4 des 5 mois de crise rates : dec.2007, avr-mai 2008, mars 2009, tous dans l'episode GFC deja detecte par ailleurs). Precision 100%-&gt;87.3% (7 'faux positifs' ajoutes). Les 7 examines un par un ne sont PAS du bruit sans raison financiere : sept-oct.2010 (suites crise grecque), dec.2011 (suites crise dette euro), oct.2015 (suites krach chinois), jan.2019 (suites correction dec.2018), mai-juin 2020 (spreads encore tendus post-COVID) -- tous des episodes reels de tension credit qui n'ont juste pas coincide avec un mois de la liste de crise (definie sur les indices actions). Correction importante par rapport a une premiere lecture a l'oeil de la courbe brute : le delai d'avance reel du spread credit pour la GFC est de 0 mois une fois le seuil calibre pour la precision (declenche en meme temps que les indices de prix, novembre 2007) -- pas les '4 mois' suggeres par une inspection visuelle non calibree. Sa valeur ajoutee est d'etendre la couverture a l'INTERIEUR d'un episode de crise deja detecte, pas de donner une alerte precoce avant le debut de la crise.</t>
  </si>
  <si>
    <t>Ce qui a ete teste et ECARTE (voir echanges anterieurs, non repris en detail ici) : VIX anormalement bas (fonctionne seulement pour COVID, 1 crash sur 3 -- pas fiable) ; profil des 12 criteres de tendance eux-memes 1-3 mois avant un crash (aucun signal precurseur, mois plus calmes que la moyenne avant chaque crash -- coherent avec le fait qu'un indicateur de prix rétrospectif ne peut, par construction, rien montrer avant que la baisse ne commence).</t>
  </si>
  <si>
    <t>AVERTISSEMENT : ce classeur est un outil de travail personnel, pas un conseil en investissement personnalise. Je ne suis pas conseiller financier agree. Les repartitions, rendements et regles fiscales ci-dessus sont des hypotheses indicatives a verifier -- notamment avec votre tranche marginale d'imposition (TMI) et, si le montant le justifie, avec un professionnel agree avant toute decision d'investissement reelle.</t>
  </si>
  <si>
    <t>Target Portfolio (k€) 5 to 8yr, mid risk</t>
  </si>
  <si>
    <t>Compte-Titres Ordinaire (CTO)</t>
  </si>
  <si>
    <t>Plan d'Épargne Actions (Equities, Std, ETF, EU, max 150k€, 5y)</t>
  </si>
  <si>
    <t>Assurance Vie Unite de Compte UC (Equity, Bond, std/profile/ETF, &lt;70y, mainly out EU, 8y)</t>
  </si>
  <si>
    <t>TOTAL</t>
  </si>
  <si>
    <t>target</t>
  </si>
  <si>
    <t>Return</t>
  </si>
  <si>
    <t>Volatilite</t>
  </si>
  <si>
    <t>Sharpe</t>
  </si>
  <si>
    <t>% total T0</t>
  </si>
  <si>
    <t>Cash / Liquide %</t>
  </si>
  <si>
    <t>Secure %</t>
  </si>
  <si>
    <t>Equity Std%</t>
  </si>
  <si>
    <t>Equity ETF  %</t>
  </si>
  <si>
    <t>Bond Std  %</t>
  </si>
  <si>
    <t>Bond ETF  %</t>
  </si>
  <si>
    <t>total</t>
  </si>
  <si>
    <t>EU</t>
  </si>
  <si>
    <t>WW</t>
  </si>
  <si>
    <t>US</t>
  </si>
  <si>
    <t>Asia</t>
  </si>
  <si>
    <t>EM</t>
  </si>
  <si>
    <t>Bond - Govt / Investment Grade (zone euro)</t>
  </si>
  <si>
    <t>Bond - High Yield / Corporate (zone euro)</t>
  </si>
  <si>
    <t>Bond - Indexees inflation (zone euro)</t>
  </si>
  <si>
    <t>total (poids obligations, doit = 100%)</t>
  </si>
  <si>
    <t>Or (reference -- PAS integre a la cible G ; voir note ligne 25)</t>
  </si>
  <si>
    <t>Sources (aout 2026, ramene en EUR via depreciation annualisee EUR/USD 2016-2026 ~0.42%/an) -- Rendement geo (H13:H17) : EU 9.60% deja EUR, WW/US/Asia/EM convertis depuis 13.14%/12.86%/11.37%/10.07% USD (MSCI World/USA/EM Asia proxy/EM). Volatilite geo (I13:I17, ecarts-type annualises 3 ans, factsheets MSCI, en USD non converti) : EU 9.13%, WW 12.45%, US 13.36% (proxy), Asia 16.52% (MSCI AC Asia), EM 17.94%. Obligations (lignes 19-21, poids 70/15/15 illustratifs) : Govt/IG hypothese deja presente ; High Yield 5.52% (yield-to-worst comme proxy)/vol 7.5% ; Indexees inflation 3.88%/vol 5.23% (rendement et volatilite annualises 30 ans, indice Bloomberg Euro Govt Inflation-Linked, proxy iShares). Or (ligne 23) : 7.75% EUR (proxy XAU/EUR depuis 2000, conv. USD 8.2%), volatilite 17%, correlation actions faible/quasi-nulle.</t>
  </si>
  <si>
    <t>LIMITES SIGNALEES (Standard qualite IA, non masquees) : (1) MSCI World trouve a 13.14% ET 14.89% pour la meme periode selon la source -- 13.14% retenu par prudence, ecart non arbitre davantage. (2) Rendement 'Asia' (H16) utilise un proxy MSCI EM Asia, volatilite 'Asia' (I16) utilise MSCI AC Asia (indice different, plus large, inclut des marches developpes type Japon) -- incoherence de source entre les deux. (3) Volatilite US (I15) vient d'un factsheet 'MSCI World with USA', pas un factsheet MSCI USA pur -- proxy, pas la source ideale. (4) Volatilites geo (I13:I17) et de l'Or (I23) sont cotees en USD, PAS converties en EUR (contrairement au rendement) -- convertir une volatilite necessite la volatilite du change ET sa correlation avec l'indice, non sourcees ici. (5) H10/I10 (Bond) et H8/I8 (Equity) sont des moyennes ponderees simples (SUMPRODUCT) qui ignorent les correlations entre sous-classes/zones -- surestiment probablement le vrai risque. (6) L'Or n'est pas integre a la cible (G23 vide) : le fondre dans une categorie existante fausserait ce qu'elle represente (vol ~17%, comparable aux actions) ; l'integrer proprement demanderait de creer une ligne de cible et de reduire une autre categorie d'autant -- decision de repartition laissee a vous, non prise ici.</t>
  </si>
  <si>
    <t>Amount T0</t>
  </si>
  <si>
    <t>Return 1Y (nominal) Net annuel de reference</t>
  </si>
  <si>
    <t>Gross Return 5y</t>
  </si>
  <si>
    <t>5-Year Value Brut</t>
  </si>
  <si>
    <t>gain taxes &gt;5y</t>
  </si>
  <si>
    <t>31.4% IR+PS (PFU 2026)</t>
  </si>
  <si>
    <t>0% IR + 18.6% PS (2026)</t>
  </si>
  <si>
    <t>IR 31.4% (&lt;8y, PFU), IR 7.5%+PS 17.2%=24.7% (≥8y, encours&lt;150k€, apres abattement) - 4.6k€ exemption</t>
  </si>
  <si>
    <t>Gain Tax Owed</t>
  </si>
  <si>
    <t>5-Year Value Net</t>
  </si>
  <si>
    <t>Net annual return</t>
  </si>
  <si>
    <t>Frais ETF (indiciel, 0.33%/an - AMF 2026)</t>
  </si>
  <si>
    <t>Frais Std (fonds actifs/gestion active, 1.37%/an - AMF 2026)</t>
  </si>
  <si>
    <t>inflation / Y</t>
  </si>
  <si>
    <t>Net reel apres fiscalite, frais et inflation</t>
  </si>
  <si>
    <t>succession</t>
  </si>
  <si>
    <t>full taxes (20% to 30% apres abattement 100k€/enfant)</t>
  </si>
  <si>
    <t>150k€ exemption then full taxes</t>
  </si>
  <si>
    <t>Diversification : Demography (healthcare, elderlies), Technology/Innovation (digital, biotech (&gt;&gt;10% R&amp;D vs Sales)), Energy /Environment (electricity), Geopolitics &amp; Globalization (defense, asia), Gvts Debts,</t>
  </si>
  <si>
    <t>RISQUE - Portefeuille total (CTO+PEA+AV)</t>
  </si>
  <si>
    <t>Parametre</t>
  </si>
  <si>
    <t>Valeur</t>
  </si>
  <si>
    <t>Impact concret</t>
  </si>
  <si>
    <t>Correlation Equity/Bond utilisee</t>
  </si>
  <si>
    <t>Nominal brut</t>
  </si>
  <si>
    <t>Rendement attendu avant impot, frais et inflation</t>
  </si>
  <si>
    <t>Nominal net</t>
  </si>
  <si>
    <t>Apres fiscalite (CTO 31.4% / PEA 18.6% / AV 24.7%), avant frais et inflation</t>
  </si>
  <si>
    <t>Sigma (volatilite)</t>
  </si>
  <si>
    <t>Points de rendement excedentaire (vs 1.7% sans risque) par point de risque pris</t>
  </si>
  <si>
    <t>Net Reel -- impact concret final (apres tout : impot, frais, inflation)</t>
  </si>
  <si>
    <t>Pessimiste (nominal - sigma)</t>
  </si>
  <si>
    <t>Central</t>
  </si>
  <si>
    <t>Optimiste (nominal + sigma)</t>
  </si>
  <si>
    <t>Sources risque : Equity (H8/I8) et Bond (H10/I10) sont desormais des moyennes ponderees (SUMPRODUCT) des rendements/volatilites par zone geo (lignes 13-17) et par sous-classe obligataire (lignes 19-21) -- voir sources detaillees en note ligne 24-25 ci-dessus. Cash/Secure : 1.7%/0.5% (inchange).</t>
  </si>
  <si>
    <t>Correlation Equity/Bond 0.11 (US, 2025-mi2026, tres instable -- etait 0.66 en 2022, source Oxford Economics/Morningstar, 2026). Hypothese gaussienne (fat tails non modelisees).</t>
  </si>
  <si>
    <t>Sharpe concret : le portefeuille prend 6.82 points de risque (sigma) pour obtenir 5.55 points de rendement excedentaire (7.25%-1.7%) -&gt; 5.55/6.82=0.81 : 0.81 EUR de rendement en plus par EUR de risque accepte (quasi identique a avant l'enrichissement geo/obligations -- rendement ET risque ont augmente proportionnellement).</t>
  </si>
  <si>
    <t xml:space="preserve">S&amp;P 500 long terme ~0.4-0.5 (peut depasser 1 en phase de marche haussier, ex. annees 2010, mais pas la norme long terme) ; portefeuille 60/40 classique ~0.24-0.30 (donnees depuis 1988). </t>
  </si>
  <si>
    <t>Pour augmenter le Sharpe : portefeuille tangent (melange Equity/Bond qui maximise le Sharpe, formule fermee a 2 actifs + sans-risque, Markowitz)</t>
  </si>
  <si>
    <t>% Equity optimal (au sein de la poche Equity+Bond, hors Cash)</t>
  </si>
  <si>
    <t>% Bond optimal</t>
  </si>
  <si>
    <t>Rendement excedentaire a ce mix (vs sans-risque)</t>
  </si>
  <si>
    <t>Volatilite a ce mix</t>
  </si>
  <si>
    <t>Sharpe maximal atteignable (portefeuille tangent)</t>
  </si>
  <si>
    <t>Sharpe actuel (meme formule simplifiee que C56, pour comparaison equitable)</t>
  </si>
  <si>
    <t>% Equity actuel (de la poche Equity+Bond) = G8/(G8+G10)</t>
  </si>
  <si>
    <t>Conclusion (recalculee apres enrichissement geo/obligations) : le mix Sharpe-optimal est desormais ~63.2% Equity / ~36.8% Bond au sein de la poche risquee (contre ~82/18 avant l'ajout des donnees geo/obligations detaillees) -- soit ~53.7% Equity / ~31.3% Bond en poids globaux, TRES PROCHE des cibles actuelles (G8=55%/G10=30%). Sharpe au mix optimal = 0.794 contre 0.794 au mix actuel (ecart &lt;0.001) : il n'y a plus de gain de Sharpe significatif a chercher en changeant le ratio Equity:Bond -- ce lever a disparu avec les nouvelles hypotheses (voir tableau leviers ci-dessous).</t>
  </si>
  <si>
    <t>Ne change pas la part Cash/Secure (15%), qui reste une decision separee (liquidite/horizon).</t>
  </si>
  <si>
    <t>Note : C63/C64 utilisent une formule simplifiee (poids globaux directs), donc legerement differente de C47 (0.81, derivee via la chaine complete F27/annualisation 5 ans) -- comparaison C63 vs C64 valide pour la DIRECTION du changement, pas au centieme pres.</t>
  </si>
  <si>
    <t>3 leviers actionnables (paramètres hors PEA/fiscalité, verrouillés par la loi)</t>
  </si>
  <si>
    <t>Net Réel</t>
  </si>
  <si>
    <t>Δ vs actuel</t>
  </si>
  <si>
    <t>Volatilité</t>
  </si>
  <si>
    <t>Actuel</t>
  </si>
  <si>
    <t>1) 100% ETF (au lieu de 65/35 ETF/Std)</t>
  </si>
  <si>
    <t>2) Ratio Equity:Bond au mix Sharpe-optimal (53.7%/31.3% global, vs 55%/30% actuel -- quasi identique)</t>
  </si>
  <si>
    <t>3) Frais AV au niveau marché (2.5%, alerte -- pas un choix)</t>
  </si>
  <si>
    <t>Levier 1 (ETF) : seul gain sans compromis -- +0.31pt de Net Reel, volatilite inchangee.</t>
  </si>
  <si>
    <t>Levier 2 (ratio Equity:Bond) : n'est PLUS un levier utile avec les hypotheses enrichies (geo + sous-classes obligataires) -- le mix actuel (55/30) est deja quasi au point Sharpe-optimal (53.7/31.3). Le forcer vers l'optimum exact donnerait meme un Net Reel LEGEREMENT INFERIEUR (-0.07pt) avec une volatilite legerement plus basse (-0.12pt) : un choix de profil de risque plus prudent, pas un gain. Conclusion opposee a la version precedente de ce classeur (qui indiquait +0.72pt) -- resultat direct de l'ajout des donnees geo/obligations detaillees, qui a change les hypotheses de base H8/H10/I8/I10.</t>
  </si>
  <si>
    <t>Levier 3 : FRAIS REEL (Assessment 11, France Assureurs 2024) : moyenne de marche assurance vie tout compris ~2.5%/an (1.62% frais de gestion des supports + 0.88% frais d'enveloppe/gestion pilotee), largement au-dessus des 0.33%-1.37% modelises ici.</t>
  </si>
  <si>
    <t>Si votre contrat reel se rapproche de cette moyenne, le Net Reel tomberait de 2.62% a 1.64% -- verifiez les frais reels de votre contrat AV en priorite, avant tout autre ajustement.</t>
  </si>
  <si>
    <t>TMI = Tranche Marginale d'Imposition </t>
  </si>
  <si>
    <t>PFU = Prélèvement Forfaitaire Unique, aussi appelé "flat tax" </t>
  </si>
  <si>
    <t>le PFU (31.4%, déjà utilisé partout dans ce classeur pour le CTO) n'est optimal que si votre TMI réelle est ≥ 30%.</t>
  </si>
  <si>
    <t>Le PEA et l'AV ont leurs propres régimes spécifiques (déjà dans le classeur : PEA exonéré d'IR après 5 ans, AV à taux réduit après 8 ans) — le choix PFU vs barème ne concerne vraiment que le CTO ici, et éventuellement l'AV avant 8 ans.</t>
  </si>
  <si>
    <t>Volatilite (+/- ecart type)</t>
  </si>
  <si>
    <t>Sharpe (rendement vs risque)</t>
  </si>
  <si>
    <t xml:space="preserve">Or </t>
  </si>
  <si>
    <t xml:space="preserve">Sharpe: S&amp;P 500 long terme ~0.4-0.5 (peut depasser 1 en phase de marche haussier, ex. annees 2010, mais pas la norme long terme) ; portefeuille 60/40 classique ~0.24-0.30 (donnees depuis 1988). </t>
  </si>
  <si>
    <t>Le choix PFU vs barème ne concerne vraiment que le CTO ici, et éventuellement l'AV avant 8 ans.</t>
  </si>
  <si>
    <t>Corrélations entre marchés actions (rendements journaliers, 3 ans)</t>
  </si>
  <si>
    <t>Base : 597 jours de bourse communs aux 12 indices, 14/08/2023-12/08/2026 (donnees investing.com, extraction directe via API historique, 12/08/2026). Correlation de Pearson sur les rendements journaliers (variation quotidienne en %), pas sur les niveaux de prix.</t>
  </si>
  <si>
    <t>S&amp;P500</t>
  </si>
  <si>
    <t>DJ</t>
  </si>
  <si>
    <t>NASDAQ</t>
  </si>
  <si>
    <t>SSE (Shangh.)</t>
  </si>
  <si>
    <t>SZSE (Shenzh.)</t>
  </si>
  <si>
    <t>HSI (HK)</t>
  </si>
  <si>
    <t>Nikkei</t>
  </si>
  <si>
    <t>Sensex</t>
  </si>
  <si>
    <t>KOSPI</t>
  </si>
  <si>
    <t>ESTX50</t>
  </si>
  <si>
    <t>CAC40</t>
  </si>
  <si>
    <t>FTSE</t>
  </si>
  <si>
    <t>Lecture : US entre eux tres correles (S&amp;P-NASDAQ 0.97, S&amp;P-DJ 0.89). Europe entre eux tres correles (ESTX50-CAC40 0.93, FTSE ~0.74 avec les 2). Chine (SSE-SZSE) tres correles entre eux (0.90) mais quasi decouples du reste du monde (0.10-0.24 avec US/Europe) -- marche largement isole (controle des capitaux). US&lt;-&gt;Europe : correlation moderee (0.32-0.46). US&lt;-&gt;Asie (hors Chine) : faible (0.15-0.24). Nikkei-KOSPI : 0.66, lien le plus fort hors blocs US/Europe (economies exportatrices voisines). Hang Seng : joue un role de pont, correle a la fois avec la Chine continentale (0.52-0.59) et moderement avec l'Europe (0.40-0.43).</t>
  </si>
  <si>
    <t>Implication pour l'onglet GO-NOGO : les 4 indices d'origine (DJ, NASDAQ, Sensex, CAC40) couvrent US+Europe+Inde mais aucun ne representait la Chine (SSE/SZSE), le bloc le plus independant de ce tableau -- un choc chinois isole ne remontait dans aucun des criteres de tendance. SSE Composite et Nikkei 225 ajoutes a GO-NOGO en consequence (voir cet onglet, section 1).</t>
  </si>
  <si>
    <t>Audit qualité — justification des paramètres GO-NOGO sur l'historique des crashs</t>
  </si>
  <si>
    <t>Objectif : documenter, pour audit, la méthode et les résultats (vrais positifs / faux positifs / faux négatifs / précision / rappel) qui justifient les seuils et la logique actuellement déployés dans l'onglet GO-NOGO. Recalculé le 2026-08-14 sur l'historique COMPLET disponible (341 mois, 1998-2026) — corrige une première version des tests (voir §5) qui portait par erreur sur seulement 4 indices (avant l'ajout de SSE/Nikkei) et une période plus courte (257 mois, 2005-2026).</t>
  </si>
  <si>
    <t>1) Méthode</t>
  </si>
  <si>
    <t>Base : 341 mois de données mensuelles réelles (avril 1998 - août 2026), 6 indices (DJ, NASDAQ, Sensex, CAC40, SSE Composite, Nikkei 225), source investing.com (API historique). Vérité terrain : 84 mois classés 'crise' par recoupement avec des épisodes documentés indépendamment de la formule de détection (liste ci-dessous, §2). Rappel = part des mois de crise correctement signalés NOGO. Précision = part des mois signalés NOGO qui sont vraiment des mois de crise. F1 = moyenne harmonique des deux.</t>
  </si>
  <si>
    <t>2) Épisodes de crise retenus (vérité terrain, 84 mois)</t>
  </si>
  <si>
    <t>Période</t>
  </si>
  <si>
    <t>Événement</t>
  </si>
  <si>
    <t>Août-Oct. 1998</t>
  </si>
  <si>
    <t>Crise russe / effondrement LTCM</t>
  </si>
  <si>
    <t>Mars 2000 - Oct. 2002</t>
  </si>
  <si>
    <t>Krach dot-com, 11 septembre 2001, récession -- marché baissier prolongé</t>
  </si>
  <si>
    <t>Mai-Juin 2006</t>
  </si>
  <si>
    <t>Correction taux/inflation</t>
  </si>
  <si>
    <t>Nov. 2007 - Mars 2009</t>
  </si>
  <si>
    <t>Crise financière mondiale (GFC)</t>
  </si>
  <si>
    <t>Mai-Août 2010</t>
  </si>
  <si>
    <t>Dette souveraine européenne (Grèce, 1ère vague)</t>
  </si>
  <si>
    <t>Juil.-Nov. 2011</t>
  </si>
  <si>
    <t>Dette euro (2e vague) + plafond dette US</t>
  </si>
  <si>
    <t>Mai-Juin 2012</t>
  </si>
  <si>
    <t>Crise eurozone (Grèce/Espagne)</t>
  </si>
  <si>
    <t>Août-Sept. 2015</t>
  </si>
  <si>
    <t>Krach chinois + dévaluation yuan</t>
  </si>
  <si>
    <t>Jan.-Fév. 2016</t>
  </si>
  <si>
    <t>Selloff mondial (Chine, pétrole)</t>
  </si>
  <si>
    <t>Oct.-Déc. 2018</t>
  </si>
  <si>
    <t>Correction Q4 (Fed + guerre commerciale)</t>
  </si>
  <si>
    <t>Mai 2019</t>
  </si>
  <si>
    <t>Escalade guerre commerciale US-Chine</t>
  </si>
  <si>
    <t>Fév.-Avr. 2020</t>
  </si>
  <si>
    <t>Krach COVID</t>
  </si>
  <si>
    <t>2022 (5 mois)</t>
  </si>
  <si>
    <t>Marché baissier (taux/inflation/Ukraine)</t>
  </si>
  <si>
    <t>Oct. 2023</t>
  </si>
  <si>
    <t>Guerre Israël-Hamas</t>
  </si>
  <si>
    <t>Avr. 2025, Mars 2026</t>
  </si>
  <si>
    <t>Événements récents (confiance de vérification moindre)</t>
  </si>
  <si>
    <t>3) Résultats — configuration actuelle vs alternatives (même base de 341 mois / 84 mois crise)</t>
  </si>
  <si>
    <t>Configuration</t>
  </si>
  <si>
    <t>Vrais positifs</t>
  </si>
  <si>
    <t>Faux positifs</t>
  </si>
  <si>
    <t>Faux négatifs</t>
  </si>
  <si>
    <t>6 indices, 12 critères tendance, tol 3/12 (ACTUEL, déployé)</t>
  </si>
  <si>
    <t>4 indices (avant ajout SSE/Nikkei), tol 2/8</t>
  </si>
  <si>
    <t>+ spread crédit fusionné en déclencheur (contribution marginale isolée)</t>
  </si>
  <si>
    <t>Lecture : l'ajout de SSE Composite et Nikkei 225 apporte un gain vérifié de rappel (+7,1pts, 71,4%→78,6%) sur cette base longue, sans perte de précision notable (95,2%→95,7%) — justifie la décision (v27/v28) d'étendre de 4 à 6 indices. Fusionner le spread crédit comme déclencheur supplémentaire améliore le rappel (+5,9pts) mais dégrade sensiblement la précision (-11,2pts), pour un F1 quasi identique voire légèrement inférieur (0,863→0,845) sur cet historique complet -- moins favorable que le test initial fait sur une période plus courte (2005-2026 seul, qui donnait 89,8%→98,0% de rappel et 100%→87,3% de précision). Voir §5 pour la correction de cette incohérence entre les deux tests.</t>
  </si>
  <si>
    <t>4) Faux positifs identifiés — examinés un par un, aucun n'est du bruit sans cause</t>
  </si>
  <si>
    <t>3 faux positifs sur la configuration actuelle (déc.2002, fév.2003, mars 2003) : période de volatilité prolongée en fin de marché baissier 2000-2002, coïncidant avec la préparation de l'invasion de l'Irak (tensions géopolitiques, incertitude pétrolière) -- borderline entre 'crise étendue non capturée par la fenêtre de vérité terrain (qui s'arrête en oct. 2002)' et 'vrai faux positif'. Pas du bruit aléatoire dans les deux lectures possibles. En fusionnant le spread crédit (test isolé), 10 faux positifs supplémentaires apparaissent (voir §3) -- tous examinés lors d'un test antérieur sur la période courte 2005-2026 (sept-oct.2010 suites crise grecque, déc.2011 suites dette euro, oct.2015 suites krach chinois, jan.2019 suites correction déc.2018, mai-juin 2020 suites COVID) : de vrais épisodes de tension crédit, pas alignés avec la fenêtre stricte de crise actions.</t>
  </si>
  <si>
    <t>5) Correction de méthode appliquée le 2026-08-14</t>
  </si>
  <si>
    <t>Les premiers tests de cette conversation (khi², backtest initial, comparaison precision/complexité, tests des indicateurs avancés) ont été faits AVANT l'ajout de SSE Composite et Nikkei 225 à l'onglet GO-NOGO pour certains, et sur une base de seulement 257 mois (2005-2026) pour d'autres -- deux limites corrigées ici : (1) tous les résultats de cet onglet utilisent les 6 indices réellement déployés ; (2) la base a été étendue à 341 mois (1998-2026) pour inclure la crise russe/LTCM 1998 et l'intégralité du marché baissier dot-com 2000-2002 (les tests précédents s'arrêtaient à 2005, ratant ces 2 épisodes majeurs). Conséquence : le rappel de la config actuelle est réévalué à 78,6% (contre 89,8% cité précédemment) -- la config n'a pas changé, c'est la mesure qui est devenue plus complète et donc plus rigoureuse (plus de mois de crise dans la vérité terrain, dont plusieurs mois du marché baissier 2000-2002 qui n'ont pas déclenché NOGO faute d'une baisse assez nette sur un mois ou 3 mois donné -- voir §3, colonne faux négatifs).</t>
  </si>
  <si>
    <t>6) Écarté après test (résumé, détail dans les notes de l'onglet GO-NOGO)</t>
  </si>
  <si>
    <t>Courbe des taux fusionnée comme déclencheur : rejetée (gain de rappel marginal +2pts pour perte de précision majeure, à cause de l'inversion 2022-2025 non suivie d'un crash) -- gardée en vigilance séparée uniquement. VIX anormalement bas (complaisance) : ne fonctionne que pour 1 crash sur 3 testés (COVID) -- pas retenu comme critère. Profil des 12 critères de tendance eux-mêmes avant un crash : aucun signal précurseur détecté (mois plus calmes que la moyenne avant chaque crash, pas plus agités).</t>
  </si>
  <si>
    <t>7) Limites de cette méthodologie d'audit</t>
  </si>
  <si>
    <t>La 'vérité terrain' (liste des 84 mois de crise) est construite manuellement par recoupement avec des événements historiques documentés -- pas une source externe indépendante labellisée (ex. NBER pour les récessions US), donc un biais de sélection reste possible (les fenêtres de dates, notamment pour le marché baissier 2000-2002, ont une part de jugement). Les 2 mois les plus récents (avril 2025, mars 2026) ont une confiance de vérification plus faible, hors fenêtre de sources solides. Chaque nouvelle modification des seuils ou des indicateurs devrait être revalidée avec cette même méthode plutôt que de réutiliser les chiffres ci-dessus tels quels.</t>
  </si>
  <si>
    <t>Contexte marché — taux de change, indices, volatilité (réactualisation manuelle)</t>
  </si>
  <si>
    <t>AVERTISSEMENT : tableau de contexte informatif, pas connecté à une source de données live (comme l'onglet GO-NOGO). Valeurs fournies par l'utilisateur, non vérifiées indépendamment. À réactualiser manuellement à intervalle régulier (recommandé : à chaque utilisation du classeur). Tendance (+/-) : formule vivante comparant la valeur actuelle à la valeur précédente — reste vide tant qu'aucune valeur précédente n'est saisie (rien à comparer au premier remplissage). À chaque réactualisation : déplacez l'ancienne valeur de la colonne "Valeur actuelle" vers "Valeur précédente", puis saisissez la nouvelle valeur actuelle.</t>
  </si>
  <si>
    <t>Date de saisie de cette actualisation</t>
  </si>
  <si>
    <t>1) Taux de change</t>
  </si>
  <si>
    <t>Catégorie</t>
  </si>
  <si>
    <t>Libellé</t>
  </si>
  <si>
    <t>Valeur précédente</t>
  </si>
  <si>
    <t>Tendance (+/-)</t>
  </si>
  <si>
    <t>Détail / Source</t>
  </si>
  <si>
    <t>Taux de change</t>
  </si>
  <si>
    <t>1 € → Yuan (CNY)</t>
  </si>
  <si>
    <t>≈ approx.</t>
  </si>
  <si>
    <t>1 € → Roupie indienne (INR)</t>
  </si>
  <si>
    <t>1 € → Dollar US (USD)</t>
  </si>
  <si>
    <t>1 € → Livre sterling (GBP)</t>
  </si>
  <si>
    <t>2) Indices boursiers mondiaux</t>
  </si>
  <si>
    <t>Indices boursiers</t>
  </si>
  <si>
    <t>MSCI World (marchés développés)</t>
  </si>
  <si>
    <t>MSCI Emerging Markets</t>
  </si>
  <si>
    <t>Dow Jones (DJI)</t>
  </si>
  <si>
    <t>Exact</t>
  </si>
  <si>
    <t>Nasdaq Composite</t>
  </si>
  <si>
    <t>Chine — SSE Composite (Shanghai)</t>
  </si>
  <si>
    <t>Chine — Shenzhen (SZSE Component)</t>
  </si>
  <si>
    <t>Hong Kong — Hang Seng</t>
  </si>
  <si>
    <t>Japon — Nikkei 225</t>
  </si>
  <si>
    <t>Inde — BSE Sensex</t>
  </si>
  <si>
    <t>Corée du Sud — KOSPI</t>
  </si>
  <si>
    <t>EURO STOXX 50</t>
  </si>
  <si>
    <t>CAC 40</t>
  </si>
  <si>
    <t>Royaume-Uni — FTSE 100</t>
  </si>
  <si>
    <t>3) Volatilité et taux d'intérêt</t>
  </si>
  <si>
    <t>Volatilité / taux</t>
  </si>
  <si>
    <t>VIX (volatilité actions)</t>
  </si>
  <si>
    <t>MOVE (volatilité obligataire)</t>
  </si>
  <si>
    <t>Spread 10 ans - 2 ans (Trésor US)</t>
  </si>
  <si>
    <t>Détail utilisateur : 4,72 % (10 ans) vs 4,36 % (2 ans)</t>
  </si>
  <si>
    <t>Spread 10 ans - 3 mois (Trésor US)</t>
  </si>
  <si>
    <t>Détail utilisateur : 4,72 % (10 ans) vs 3,83 % (3 mois)</t>
  </si>
  <si>
    <t>4) Autres indicateurs</t>
  </si>
  <si>
    <t>Autres indicateurs</t>
  </si>
  <si>
    <t>Inflation USA (CPI, sur 12 mois)</t>
  </si>
  <si>
    <t>Donnée datée (utilisateur)</t>
  </si>
  <si>
    <t>Donnée utilisateur : juillet 2026</t>
  </si>
  <si>
    <t>Or ($/once)</t>
  </si>
  <si>
    <t>≈ approx. (fourchette 4590-4600)</t>
  </si>
  <si>
    <t>Pétrole brut WTI ($/baril)</t>
  </si>
  <si>
    <t>+</t>
  </si>
  <si>
    <t>Claim utilisateur (non vérifié par ailleurs) : en hausse de +3 % ce lundi, suite aux tensions USA-Iran.</t>
  </si>
  <si>
    <t>Le spread crédit = l'écart de taux entre une obligation d'entreprise et une obligation d'État de même échéance.</t>
  </si>
  <si>
    <t>Concrètement : si l'État français emprunte à 3% sur 10 ans et qu'une entreprise notée Baa (catégorie investment grade la plus basse) emprunte à 4,6% sur la même durée, le spread = 1,6 point. Cet écart, c'est la prime de risque que les investisseurs exigent pour prêter à une entreprise plutôt qu'à un État — pour compenser le risque qu'elle fasse défaut (ne rembourse pas).</t>
  </si>
  <si>
    <t>Pourquoi il bouge :</t>
  </si>
  <si>
    <t>Spread étroit = les investisseurs obligataires sont confiants, ils acceptent de prêter aux entreprises presque au même taux qu'à l'État → optimisme.</t>
  </si>
  <si>
    <t>Spread qui s'élargit = les investisseurs obligataires commencent à douter (risque de récession, de défauts en hausse) et exigent plus de rémunération pour ce risque → prudence croissante.</t>
  </si>
  <si>
    <t>Pourquoi ça peut anticiper une crise avant les actions : les détenteurs d'obligations d'entreprise sont remboursés avant les actionnaires en cas de faillite (ils sont "seniors" dans la structure du capital) — ils sont donc structurellement plus attentifs et plus pessimistes en premier sur le risque de défaut. Les actionnaires, eux, restent souvent optimistes plus longtemps (ils profitent de la hausse tant que rien ne casse vraiment). D'où l'idée : le marché du crédit "sent" les problèmes avant que ça se voie dans le cours des actions.</t>
  </si>
  <si>
    <t>Précision sur ce que j'ai utilisé : le vrai concept que vous avez demandé est "HY-IG" (obligations à haut rendement / risquées vs investment grade) — je n'ai pas pu obtenir cet historique complet (données tronquées à 3 ans par la source). J'ai utilisé à la place Baa-Treasury (obligations investment grade les moins bien notées vs État) — un proxy proche mais pas identique : il mesure le risque de crédit des entreprises "correctes" plutôt que des entreprises franchement risquées (haut rendement). Le signal HY-IG réagirait probablement plus fort et plus vite (les obligations risquées sont les premières à souffrir), mais je n'ai pas pu le vérifier avec des données.</t>
  </si>
  <si>
    <t>Résultat du test du khi² — rejet massif de l'indépendance :</t>
  </si>
  <si>
    <t>χ² = 434,83, ddl = 5 (6 classes regroupées pour respecter effectif attendu ≥5), p ≈ 9,2×10⁻⁹² — essentiellement zéro. Le pattern est net et bimodal :</t>
  </si>
  <si>
    <t>0 échec simultané : 120 mois observés vs 35 attendus sous indépendance — bien plus de mois "tout calme" que le hasard ne le voudrait.</t>
  </si>
  <si>
    <t>5+ échecs simultanés : 36 mois observés vs 5,5 attendus — bien plus de mois "tout casse ensemble" que le hasard ne le voudrait.</t>
  </si>
  <si>
    <t>Ça confirme formellement ce que le backtest suggérait visuellement : les indices ne tombent pas indépendamment, ils se regroupent fortement (calme partagé ou stress partagé). C'est exactement l'hypothèse sur laquelle repose la logique majoritaire (9/12) — un vrai choc systémique franchit ce seuil sans ambiguïté, alors que du bruit indépendant ne le pourrait presque jamais.</t>
  </si>
  <si>
    <t>Conclusion : le modèle fonctionne bien pour identifier un vrai plancher après un choc brutal en V (GFC, COVID, Q4 2018) — mais il "whipsaw" (faux signaux répétés) pendant un marché baissier qui s'étire sur plusieurs années (dot-com, 2022). Un "GO" après un "NOGO" ne garantit donc pas que le creux est passé, surtout dans ce second cas de figure.</t>
  </si>
  <si>
    <t>Supports -- grille de lecture ETF/AV + mapping thèmes de diversification</t>
  </si>
  <si>
    <t>Sur ETF vs gestion active (déjà dans le classeur) : les données SPIVA citées plus tôt montrent que 70-90% des fonds actifs sous-performent leur indice sur 10-20 ans — c'est un argument général en faveur des ETF indiciels plutôt que des fonds "std", pas spécifique à SG/Boursorama.</t>
  </si>
  <si>
    <t>Grille de lecture pour évaluer VOUS-MÊME les produits proposés par SG/Boursorama (ETF PEA, supports AV) :</t>
  </si>
  <si>
    <t>Frais courants (TER) — le critère le plus déterminant sur longue durée, souvent affiché en %/an.</t>
  </si>
  <si>
    <t>Réplication physique (détient réellement les titres) vs synthétique (swap) — la physique est généralement préférée pour la simplicité/transparence.</t>
  </si>
  <si>
    <t>Encours (AUM) et ancienneté — un ETF trop petit/récent risque une fermeture/liquidation.</t>
  </si>
  <si>
    <t>Éligibilité PEA — vérifier explicitement (tous les ETF ne le sont pas, même ceux qui répliquent des indices US via des montages synthétiques).</t>
  </si>
  <si>
    <t>Pour l'AV : frais d'entrée, frais de gestion du contrat (pas juste des supports), frais d'arbitrage — le repère de marché déjà dans le classeur (~2,5%/an tout compris) donne un point de comparaison.</t>
  </si>
  <si>
    <t>Ressources neutres pour comparer : Quantalys, Morningstar, ou le comparateur ETF de l'AMF — plus indiqués qu'une recommandation de ma part pour éplucher les catalogues SG/Boursorama.</t>
  </si>
  <si>
    <t>Point de vigilance sur les ETF thématiques en général (pas spécifique à un thème) : frais courants nettement plus élevés que les ETF larges classiques (souvent 0,4-0,7%/an contre 0,1-0,2% pour un MSCI World), et concentration sectorielle = risque plus élevé, pas une diversification au sens strict — à mettre en "satellite" (petite part) plutôt qu'en "cœur" de portefeuille si vous les utilisez, cohérent avec le repère core-satellite déjà dans votre CONTEXTE.md (v5).</t>
  </si>
  <si>
    <t>Thème (votre note)</t>
  </si>
  <si>
    <t>Catégorie d'ETF existante sur le marché</t>
  </si>
  <si>
    <t>Demography (santé, vieillissement)</t>
  </si>
  <si>
    <t>ETF sectoriels "Santé"/"Healthcare" — large catégorie établie, souvent MSCI World Health Care ou équivalent</t>
  </si>
  <si>
    <t>Technology/Innovation (digital, biotech R&amp;D élevé)</t>
  </si>
  <si>
    <t>ETF thématiques "Innovation"/"Disruptive Tech" ou sectoriels "Technology" — catégorie large, très variable en composition d'un émetteur à l'autre</t>
  </si>
  <si>
    <t>Energy/Environment (électricité)</t>
  </si>
  <si>
    <t>ETF "Clean Energy"/"Infrastructure électrique" — attention, catégorie historiquement très volatile (voir plus bas)</t>
  </si>
  <si>
    <t>Geopolitics &amp; Globalization (défense, Asie)</t>
  </si>
  <si>
    <t>ETF sectoriels "Défense/Aerospace" (catégorie récente, en forte croissance depuis 2022) — pour "Asia", déjà couvert par votre allocation géographique existante (G16 Asia 15%), pas besoin d'un produit thématique séparé</t>
  </si>
  <si>
    <t>Gvts Debts (dettes publiques)</t>
  </si>
  <si>
    <t>Ce n'est pas vraiment un thème "à acheter" mais un risque à surveiller — plutôt couvert par votre critère spread crédit/courbe des taux déjà dans GO-NOGO que par un produit dédié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</si>
</sst>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0.0%"/>
    <numFmt numFmtId="165" formatCode="0.0"/>
    <numFmt numFmtId="166" formatCode="#,##0.0"/>
    <numFmt numFmtId="167" formatCode="dd/mm/yyyy"/>
    <numFmt numFmtId="168" formatCode="&quot;&lt; &quot;\ #"/>
    <numFmt numFmtId="169" formatCode="&quot;&gt; &quot;\ #.00%"/>
    <numFmt numFmtId="170" formatCode="0.000"/>
    <numFmt numFmtId="171" formatCode="0.00&quot; pt&quot;"/>
  </numFmts>
  <fonts count="61" x14ac:knownFonts="1">
    <font>
      <sz val="10"/>
      <name val="Arial"/>
      <family val="2"/>
    </font>
    <font>
      <sz val="10"/>
      <name val="Arial"/>
      <family val="2"/>
    </font>
    <font>
      <sz val="10"/>
      <color theme="1"/>
      <name val="Arial"/>
      <family val="2"/>
    </font>
    <font>
      <sz val="10"/>
      <color rgb="FF0070C0"/>
      <name val="Arial"/>
      <family val="2"/>
    </font>
    <font>
      <b/>
      <sz val="10"/>
      <color rgb="FF0070C0"/>
      <name val="Arial"/>
      <family val="2"/>
    </font>
    <font>
      <b/>
      <sz val="10"/>
      <name val="Arial"/>
      <family val="2"/>
    </font>
    <font>
      <b/>
      <sz val="10"/>
      <color rgb="FF000000"/>
      <name val="Arial"/>
      <family val="2"/>
    </font>
    <font>
      <sz val="10"/>
      <color rgb="FF000000"/>
      <name val="Arial"/>
      <family val="2"/>
    </font>
    <font>
      <b/>
      <sz val="10"/>
      <color rgb="FFFF0000"/>
      <name val="Arial"/>
      <family val="2"/>
    </font>
    <font>
      <sz val="10"/>
      <color rgb="FFFF0000"/>
      <name val="Arial"/>
      <family val="2"/>
    </font>
    <font>
      <sz val="10"/>
      <color rgb="FF0070C0"/>
      <name val="Calibri"/>
      <family val="2"/>
    </font>
    <font>
      <sz val="10"/>
      <color theme="4"/>
      <name val="Calibri"/>
      <family val="2"/>
    </font>
    <font>
      <sz val="10"/>
      <color rgb="FF1F4E78"/>
      <name val="Calibri"/>
      <family val="2"/>
    </font>
    <font>
      <b/>
      <i/>
      <sz val="10"/>
      <color rgb="FFC00000"/>
      <name val="Calibri"/>
      <family val="2"/>
    </font>
    <font>
      <sz val="10"/>
      <color rgb="FF212121"/>
      <name val="Merriweather"/>
    </font>
    <font>
      <b/>
      <sz val="10"/>
      <color rgb="FF1F4E78"/>
      <name val="Calibri"/>
      <family val="2"/>
    </font>
    <font>
      <i/>
      <sz val="10"/>
      <color rgb="FF808080"/>
      <name val="Calibri"/>
      <family val="2"/>
    </font>
    <font>
      <sz val="10"/>
      <color rgb="FFFF0000"/>
      <name val="Segoe UI"/>
      <family val="2"/>
    </font>
    <font>
      <sz val="10"/>
      <color rgb="FF0B0B0B"/>
      <name val="Segoe UI"/>
      <family val="2"/>
    </font>
    <font>
      <sz val="10"/>
      <color rgb="FF0B0B0B"/>
      <name val="Segoe UI"/>
      <family val="2"/>
    </font>
    <font>
      <b/>
      <i/>
      <sz val="10"/>
      <color rgb="FF808080"/>
      <name val="Calibri"/>
      <family val="2"/>
    </font>
    <font>
      <b/>
      <sz val="10"/>
      <name val="Arial"/>
      <family val="2"/>
    </font>
    <font>
      <sz val="10"/>
      <name val="Calibri"/>
      <family val="2"/>
    </font>
    <font>
      <sz val="10"/>
      <color rgb="FF0070C0"/>
      <name val="Calibri"/>
      <family val="2"/>
    </font>
    <font>
      <i/>
      <sz val="9"/>
      <color rgb="FF808080"/>
      <name val="Calibri"/>
      <family val="2"/>
    </font>
    <font>
      <b/>
      <sz val="13"/>
      <color rgb="FF1F4E78"/>
      <name val="Arial"/>
      <family val="2"/>
    </font>
    <font>
      <i/>
      <sz val="9"/>
      <color rgb="FF808080"/>
      <name val="Calibri"/>
      <family val="2"/>
    </font>
    <font>
      <b/>
      <sz val="10"/>
      <name val="Arial"/>
      <family val="2"/>
    </font>
    <font>
      <sz val="10"/>
      <color rgb="FF0070C0"/>
      <name val="Arial"/>
      <family val="2"/>
    </font>
    <font>
      <b/>
      <sz val="10"/>
      <color rgb="FFFFFFFF"/>
      <name val="Arial"/>
      <family val="2"/>
    </font>
    <font>
      <b/>
      <sz val="16"/>
      <color rgb="FFFFFFFF"/>
      <name val="Arial"/>
      <family val="2"/>
    </font>
    <font>
      <sz val="10"/>
      <color rgb="FFFF0000"/>
      <name val="Calibri"/>
      <family val="2"/>
    </font>
    <font>
      <b/>
      <sz val="10"/>
      <name val="Arial"/>
      <family val="2"/>
    </font>
    <font>
      <sz val="10"/>
      <color rgb="FF0070C0"/>
      <name val="Calibri"/>
      <family val="2"/>
    </font>
    <font>
      <b/>
      <sz val="12"/>
      <name val="Arial"/>
      <family val="2"/>
    </font>
    <font>
      <i/>
      <sz val="9"/>
      <color rgb="FF808080"/>
      <name val="Calibri"/>
      <family val="2"/>
    </font>
    <font>
      <b/>
      <sz val="13"/>
      <color rgb="FF1F4E78"/>
      <name val="Arial"/>
      <family val="2"/>
    </font>
    <font>
      <b/>
      <sz val="9"/>
      <color rgb="FFFFFFFF"/>
      <name val="Arial"/>
      <family val="2"/>
    </font>
    <font>
      <b/>
      <sz val="10"/>
      <name val="Arial"/>
      <family val="2"/>
    </font>
    <font>
      <b/>
      <sz val="9"/>
      <color rgb="FFFFFFFF"/>
      <name val="Arial"/>
      <family val="2"/>
    </font>
    <font>
      <sz val="10"/>
      <color rgb="FF0070C0"/>
      <name val="Arial"/>
      <family val="2"/>
    </font>
    <font>
      <b/>
      <sz val="10"/>
      <name val="Arial"/>
      <family val="2"/>
    </font>
    <font>
      <sz val="10"/>
      <color rgb="FF0070C0"/>
      <name val="Arial"/>
      <family val="2"/>
    </font>
    <font>
      <i/>
      <sz val="9"/>
      <color rgb="FF808080"/>
      <name val="Calibri"/>
      <family val="2"/>
    </font>
    <font>
      <sz val="8"/>
      <color rgb="FF0B0B0B"/>
      <name val="Segoe UI"/>
      <family val="2"/>
    </font>
    <font>
      <b/>
      <sz val="13"/>
      <color rgb="FF1F4E78"/>
      <name val="Arial"/>
      <family val="2"/>
    </font>
    <font>
      <i/>
      <sz val="10"/>
      <color rgb="FF595959"/>
      <name val="Calibri"/>
      <family val="2"/>
    </font>
    <font>
      <b/>
      <sz val="10"/>
      <name val="Arial"/>
      <family val="2"/>
    </font>
    <font>
      <b/>
      <sz val="10"/>
      <color rgb="FFFFFFFF"/>
      <name val="Arial"/>
      <family val="2"/>
    </font>
    <font>
      <b/>
      <sz val="14"/>
      <color rgb="FF1F4E78"/>
      <name val="Arial"/>
      <family val="2"/>
    </font>
    <font>
      <i/>
      <sz val="9"/>
      <color rgb="FF808080"/>
      <name val="Calibri"/>
      <family val="2"/>
    </font>
    <font>
      <b/>
      <sz val="12"/>
      <color rgb="FF1F4E78"/>
      <name val="Arial"/>
      <family val="2"/>
    </font>
    <font>
      <b/>
      <sz val="10"/>
      <color rgb="FFFFFFFF"/>
      <name val="Arial"/>
      <family val="2"/>
    </font>
    <font>
      <b/>
      <sz val="13"/>
      <color rgb="FF1F4E78"/>
      <name val="Arial"/>
    </font>
    <font>
      <i/>
      <sz val="9"/>
      <color rgb="FF808080"/>
      <name val="Calibri"/>
    </font>
    <font>
      <b/>
      <sz val="10"/>
      <name val="Arial"/>
    </font>
    <font>
      <sz val="10"/>
      <color rgb="FF0070C0"/>
      <name val="Arial"/>
    </font>
    <font>
      <b/>
      <sz val="11"/>
      <color rgb="FF1F4E78"/>
      <name val="Arial"/>
    </font>
    <font>
      <sz val="10"/>
      <name val="Arial"/>
    </font>
    <font>
      <i/>
      <sz val="9"/>
      <color rgb="FF808080"/>
      <name val="Arial"/>
    </font>
    <font>
      <b/>
      <sz val="10"/>
      <color rgb="FF008000"/>
      <name val="Arial"/>
    </font>
  </fonts>
  <fills count="13">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rgb="FFFFC000"/>
        <bgColor indexed="64"/>
      </patternFill>
    </fill>
    <fill>
      <patternFill patternType="solid">
        <fgColor theme="5" tint="0.39997558519241921"/>
        <bgColor indexed="64"/>
      </patternFill>
    </fill>
    <fill>
      <patternFill patternType="solid">
        <fgColor rgb="FF1F4E78"/>
      </patternFill>
    </fill>
    <fill>
      <patternFill patternType="solid">
        <fgColor rgb="FF808080"/>
      </patternFill>
    </fill>
    <fill>
      <patternFill patternType="solid">
        <fgColor rgb="FFFFFF00"/>
        <bgColor indexed="64"/>
      </patternFill>
    </fill>
    <fill>
      <patternFill patternType="solid">
        <fgColor rgb="FFFFF2CC"/>
      </patternFill>
    </fill>
    <fill>
      <patternFill patternType="solid">
        <fgColor rgb="FFFCFCFB"/>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rgb="FFBFBFBF"/>
      </left>
      <right style="thin">
        <color rgb="FFBFBFBF"/>
      </right>
      <top style="thin">
        <color rgb="FFBFBFBF"/>
      </top>
      <bottom style="thin">
        <color rgb="FFBFBFBF"/>
      </bottom>
      <diagonal/>
    </border>
    <border>
      <left/>
      <right style="thin">
        <color rgb="FFBFBFBF"/>
      </right>
      <top style="thin">
        <color rgb="FFBFBFBF"/>
      </top>
      <bottom style="thin">
        <color rgb="FFBFBFBF"/>
      </bottom>
      <diagonal/>
    </border>
    <border>
      <left style="thin">
        <color indexed="64"/>
      </left>
      <right style="thin">
        <color indexed="64"/>
      </right>
      <top style="thin">
        <color indexed="64"/>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auto="1"/>
      </left>
      <right style="thin">
        <color auto="1"/>
      </right>
      <top style="thin">
        <color auto="1"/>
      </top>
      <bottom style="thin">
        <color auto="1"/>
      </bottom>
      <diagonal/>
    </border>
  </borders>
  <cellStyleXfs count="3">
    <xf numFmtId="0" fontId="0" fillId="0" borderId="0"/>
    <xf numFmtId="9" fontId="1" fillId="0" borderId="0"/>
    <xf numFmtId="43" fontId="1" fillId="0" borderId="0"/>
  </cellStyleXfs>
  <cellXfs count="259">
    <xf numFmtId="0" fontId="0" fillId="0" borderId="0" xfId="0"/>
    <xf numFmtId="0" fontId="2" fillId="0" borderId="0" xfId="0" applyFont="1" applyAlignment="1">
      <alignment horizontal="left" vertical="center"/>
    </xf>
    <xf numFmtId="0" fontId="4"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164" fontId="7" fillId="0" borderId="1" xfId="1" applyNumberFormat="1" applyFont="1" applyBorder="1" applyAlignment="1">
      <alignment horizontal="center" vertical="center" wrapText="1"/>
    </xf>
    <xf numFmtId="1" fontId="6" fillId="0" borderId="1" xfId="0" applyNumberFormat="1" applyFont="1" applyBorder="1" applyAlignment="1">
      <alignment horizontal="center" vertical="center" wrapText="1"/>
    </xf>
    <xf numFmtId="164" fontId="7" fillId="0" borderId="0" xfId="1" applyNumberFormat="1" applyFont="1" applyAlignment="1">
      <alignment horizontal="center" vertical="center" wrapText="1"/>
    </xf>
    <xf numFmtId="1" fontId="6" fillId="0" borderId="0" xfId="0" applyNumberFormat="1" applyFont="1" applyAlignment="1">
      <alignment horizontal="center" vertical="center" wrapText="1"/>
    </xf>
    <xf numFmtId="164" fontId="4" fillId="0" borderId="1" xfId="1" applyNumberFormat="1" applyFont="1" applyBorder="1" applyAlignment="1">
      <alignment horizontal="center" vertical="center" wrapText="1"/>
    </xf>
    <xf numFmtId="164" fontId="4" fillId="0" borderId="0" xfId="1" applyNumberFormat="1" applyFont="1" applyAlignment="1">
      <alignment horizontal="center" vertical="center" wrapText="1"/>
    </xf>
    <xf numFmtId="0" fontId="3" fillId="0" borderId="0" xfId="0" applyFont="1"/>
    <xf numFmtId="164" fontId="8" fillId="0" borderId="1" xfId="1" applyNumberFormat="1" applyFont="1" applyBorder="1" applyAlignment="1">
      <alignment horizontal="center" vertical="center" wrapText="1"/>
    </xf>
    <xf numFmtId="164" fontId="8" fillId="0" borderId="0" xfId="1" applyNumberFormat="1" applyFont="1" applyAlignment="1">
      <alignment horizontal="center" vertical="center" wrapText="1"/>
    </xf>
    <xf numFmtId="164" fontId="5" fillId="0" borderId="0" xfId="0" quotePrefix="1" applyNumberFormat="1" applyFont="1" applyAlignment="1">
      <alignment horizontal="center" vertical="center" wrapText="1"/>
    </xf>
    <xf numFmtId="0" fontId="8" fillId="0" borderId="0" xfId="0" applyFont="1"/>
    <xf numFmtId="0" fontId="8" fillId="2" borderId="1" xfId="0" applyFont="1" applyFill="1" applyBorder="1" applyAlignment="1">
      <alignment horizontal="center" vertical="center" wrapText="1"/>
    </xf>
    <xf numFmtId="1" fontId="7" fillId="3" borderId="1" xfId="0" applyNumberFormat="1" applyFont="1" applyFill="1" applyBorder="1" applyAlignment="1">
      <alignment horizontal="center" vertical="center" wrapText="1"/>
    </xf>
    <xf numFmtId="164" fontId="3" fillId="4" borderId="1" xfId="1" applyNumberFormat="1" applyFont="1" applyFill="1" applyBorder="1" applyAlignment="1">
      <alignment horizontal="center" vertical="center" wrapText="1"/>
    </xf>
    <xf numFmtId="164" fontId="3" fillId="3" borderId="1" xfId="1" applyNumberFormat="1" applyFont="1" applyFill="1" applyBorder="1" applyAlignment="1">
      <alignment horizontal="center" vertical="center" wrapText="1"/>
    </xf>
    <xf numFmtId="164" fontId="7" fillId="4" borderId="1" xfId="1" applyNumberFormat="1" applyFont="1" applyFill="1" applyBorder="1" applyAlignment="1">
      <alignment horizontal="center" vertical="center" wrapText="1"/>
    </xf>
    <xf numFmtId="164" fontId="7" fillId="3" borderId="1" xfId="1"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9" fontId="4" fillId="6" borderId="1" xfId="0"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9" fontId="4" fillId="5" borderId="1" xfId="0" applyNumberFormat="1" applyFont="1" applyFill="1" applyBorder="1" applyAlignment="1">
      <alignment horizontal="center" vertical="center" wrapText="1"/>
    </xf>
    <xf numFmtId="9" fontId="4" fillId="7" borderId="1" xfId="0" applyNumberFormat="1" applyFont="1" applyFill="1" applyBorder="1" applyAlignment="1">
      <alignment horizontal="center" vertical="center" wrapText="1"/>
    </xf>
    <xf numFmtId="9" fontId="3" fillId="7" borderId="1" xfId="0" applyNumberFormat="1" applyFont="1" applyFill="1" applyBorder="1" applyAlignment="1">
      <alignment horizontal="center" vertical="center" wrapText="1"/>
    </xf>
    <xf numFmtId="9" fontId="4" fillId="7" borderId="2" xfId="0" applyNumberFormat="1" applyFont="1" applyFill="1" applyBorder="1" applyAlignment="1">
      <alignment horizontal="center" vertical="center" wrapText="1"/>
    </xf>
    <xf numFmtId="0" fontId="5" fillId="0" borderId="0" xfId="0" applyFont="1" applyAlignment="1">
      <alignment horizontal="center"/>
    </xf>
    <xf numFmtId="9" fontId="4" fillId="5" borderId="2" xfId="0" applyNumberFormat="1" applyFont="1" applyFill="1" applyBorder="1" applyAlignment="1">
      <alignment horizontal="center" vertical="center" wrapText="1"/>
    </xf>
    <xf numFmtId="9" fontId="3" fillId="5" borderId="1" xfId="0" applyNumberFormat="1" applyFont="1" applyFill="1" applyBorder="1" applyAlignment="1">
      <alignment horizontal="center" vertical="center" wrapText="1"/>
    </xf>
    <xf numFmtId="1" fontId="7" fillId="6" borderId="1" xfId="0" applyNumberFormat="1" applyFont="1" applyFill="1" applyBorder="1" applyAlignment="1">
      <alignment horizontal="center" vertical="center" wrapText="1"/>
    </xf>
    <xf numFmtId="0" fontId="6" fillId="6"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9" fontId="3" fillId="6" borderId="1" xfId="0" applyNumberFormat="1"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164" fontId="7" fillId="5" borderId="1" xfId="1" applyNumberFormat="1" applyFont="1" applyFill="1" applyBorder="1" applyAlignment="1">
      <alignment horizontal="center" vertical="center" wrapText="1"/>
    </xf>
    <xf numFmtId="9" fontId="7" fillId="4" borderId="1" xfId="1" applyFont="1" applyFill="1" applyBorder="1" applyAlignment="1">
      <alignment horizontal="center" vertical="center" wrapText="1"/>
    </xf>
    <xf numFmtId="9" fontId="7" fillId="3" borderId="1" xfId="1" applyFont="1" applyFill="1" applyBorder="1" applyAlignment="1">
      <alignment horizontal="center" vertical="center" wrapText="1"/>
    </xf>
    <xf numFmtId="9" fontId="7" fillId="5" borderId="1" xfId="1" applyFont="1" applyFill="1" applyBorder="1" applyAlignment="1">
      <alignment horizontal="center" vertical="center" wrapText="1"/>
    </xf>
    <xf numFmtId="9" fontId="6" fillId="0" borderId="1" xfId="1" applyFont="1" applyBorder="1" applyAlignment="1">
      <alignment horizontal="center" vertical="center" wrapText="1"/>
    </xf>
    <xf numFmtId="1" fontId="7" fillId="4" borderId="1" xfId="0" applyNumberFormat="1" applyFont="1" applyFill="1" applyBorder="1" applyAlignment="1">
      <alignment horizontal="center" vertical="center" wrapText="1"/>
    </xf>
    <xf numFmtId="1" fontId="7" fillId="5" borderId="1" xfId="0" applyNumberFormat="1" applyFont="1" applyFill="1" applyBorder="1" applyAlignment="1">
      <alignment horizontal="center" vertical="center" wrapText="1"/>
    </xf>
    <xf numFmtId="165" fontId="7" fillId="4" borderId="1" xfId="0" applyNumberFormat="1" applyFont="1" applyFill="1" applyBorder="1" applyAlignment="1">
      <alignment horizontal="center" vertical="center" wrapText="1"/>
    </xf>
    <xf numFmtId="165" fontId="7" fillId="3" borderId="1" xfId="0" applyNumberFormat="1" applyFont="1" applyFill="1" applyBorder="1" applyAlignment="1">
      <alignment horizontal="center" vertical="center" wrapText="1"/>
    </xf>
    <xf numFmtId="165" fontId="7" fillId="5" borderId="1" xfId="0" applyNumberFormat="1" applyFont="1" applyFill="1" applyBorder="1" applyAlignment="1">
      <alignment horizontal="center" vertical="center" wrapText="1"/>
    </xf>
    <xf numFmtId="164" fontId="3" fillId="5" borderId="1" xfId="1" applyNumberFormat="1" applyFont="1" applyFill="1" applyBorder="1" applyAlignment="1">
      <alignment horizontal="center" vertical="center" wrapText="1"/>
    </xf>
    <xf numFmtId="164" fontId="5" fillId="0" borderId="1" xfId="0" quotePrefix="1"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164" fontId="8" fillId="0" borderId="1" xfId="0" applyNumberFormat="1" applyFont="1" applyBorder="1" applyAlignment="1">
      <alignment horizontal="center" vertical="center" wrapText="1"/>
    </xf>
    <xf numFmtId="164" fontId="10" fillId="0" borderId="1" xfId="0" applyNumberFormat="1" applyFont="1" applyBorder="1"/>
    <xf numFmtId="0" fontId="12" fillId="0" borderId="0" xfId="0" applyFont="1"/>
    <xf numFmtId="0" fontId="5" fillId="0" borderId="0" xfId="0" applyFont="1"/>
    <xf numFmtId="164" fontId="5" fillId="0" borderId="0" xfId="0" applyNumberFormat="1" applyFont="1" applyAlignment="1">
      <alignment horizontal="center"/>
    </xf>
    <xf numFmtId="0" fontId="4" fillId="0" borderId="0" xfId="0" applyFont="1" applyAlignment="1">
      <alignment horizontal="center"/>
    </xf>
    <xf numFmtId="166" fontId="5" fillId="0" borderId="0" xfId="0" applyNumberFormat="1" applyFont="1" applyAlignment="1">
      <alignment horizontal="center"/>
    </xf>
    <xf numFmtId="2" fontId="10" fillId="0" borderId="0" xfId="0" applyNumberFormat="1" applyFont="1" applyAlignment="1">
      <alignment horizontal="center"/>
    </xf>
    <xf numFmtId="2" fontId="5" fillId="0" borderId="0" xfId="0" applyNumberFormat="1" applyFont="1" applyAlignment="1">
      <alignment horizontal="center"/>
    </xf>
    <xf numFmtId="164" fontId="5" fillId="0" borderId="0" xfId="0" applyNumberFormat="1" applyFont="1"/>
    <xf numFmtId="164" fontId="10" fillId="0" borderId="0" xfId="0" applyNumberFormat="1" applyFont="1" applyAlignment="1">
      <alignment horizontal="center"/>
    </xf>
    <xf numFmtId="0" fontId="10" fillId="0" borderId="0" xfId="0" applyFont="1"/>
    <xf numFmtId="0" fontId="0" fillId="0" borderId="0" xfId="0" applyAlignment="1">
      <alignment horizontal="center" vertical="center"/>
    </xf>
    <xf numFmtId="0" fontId="14" fillId="0" borderId="0" xfId="0" applyFont="1"/>
    <xf numFmtId="0" fontId="0" fillId="2" borderId="1" xfId="0" applyFill="1" applyBorder="1" applyAlignment="1">
      <alignment horizontal="center" vertical="center" wrapText="1"/>
    </xf>
    <xf numFmtId="0" fontId="0" fillId="0" borderId="0" xfId="0" applyAlignment="1">
      <alignment horizontal="center"/>
    </xf>
    <xf numFmtId="0" fontId="0" fillId="6" borderId="1" xfId="0" applyFill="1" applyBorder="1" applyAlignment="1">
      <alignment horizontal="center" vertical="center" wrapText="1"/>
    </xf>
    <xf numFmtId="0" fontId="5" fillId="2" borderId="1" xfId="0" applyFont="1" applyFill="1" applyBorder="1" applyAlignment="1">
      <alignment horizontal="center" vertical="center" wrapText="1"/>
    </xf>
    <xf numFmtId="164" fontId="0" fillId="4" borderId="1" xfId="0" quotePrefix="1" applyNumberFormat="1" applyFill="1" applyBorder="1" applyAlignment="1">
      <alignment horizontal="center" vertical="center" wrapText="1"/>
    </xf>
    <xf numFmtId="164" fontId="0" fillId="3" borderId="1" xfId="0" quotePrefix="1" applyNumberFormat="1" applyFill="1" applyBorder="1" applyAlignment="1">
      <alignment horizontal="center" vertical="center" wrapText="1"/>
    </xf>
    <xf numFmtId="164" fontId="0" fillId="5" borderId="1" xfId="0" quotePrefix="1" applyNumberFormat="1" applyFill="1" applyBorder="1" applyAlignment="1">
      <alignment horizontal="center" vertical="center" wrapText="1"/>
    </xf>
    <xf numFmtId="164" fontId="0" fillId="4" borderId="1" xfId="1" applyNumberFormat="1" applyFont="1" applyFill="1" applyBorder="1" applyAlignment="1">
      <alignment horizontal="center" vertical="center" wrapText="1"/>
    </xf>
    <xf numFmtId="164" fontId="0" fillId="3" borderId="1" xfId="1" applyNumberFormat="1" applyFont="1" applyFill="1" applyBorder="1" applyAlignment="1">
      <alignment horizontal="center" vertical="center" wrapText="1"/>
    </xf>
    <xf numFmtId="164" fontId="0" fillId="5" borderId="1" xfId="1" applyNumberFormat="1" applyFont="1" applyFill="1" applyBorder="1" applyAlignment="1">
      <alignment horizontal="center" vertical="center" wrapText="1"/>
    </xf>
    <xf numFmtId="164" fontId="5" fillId="0" borderId="1" xfId="1" applyNumberFormat="1" applyFont="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3" fillId="0" borderId="0" xfId="0" applyFont="1" applyAlignment="1">
      <alignment horizontal="left" vertical="center"/>
    </xf>
    <xf numFmtId="0" fontId="15" fillId="0" borderId="0" xfId="0" applyFont="1"/>
    <xf numFmtId="0" fontId="16" fillId="0" borderId="0" xfId="0" applyFont="1"/>
    <xf numFmtId="164" fontId="0" fillId="0" borderId="0" xfId="0" applyNumberFormat="1" applyAlignment="1">
      <alignment horizontal="center"/>
    </xf>
    <xf numFmtId="0" fontId="16" fillId="0" borderId="0" xfId="0" applyFont="1" applyAlignment="1">
      <alignment horizontal="left"/>
    </xf>
    <xf numFmtId="164" fontId="16" fillId="0" borderId="0" xfId="0" applyNumberFormat="1" applyFont="1" applyAlignment="1">
      <alignment horizontal="left"/>
    </xf>
    <xf numFmtId="2" fontId="0" fillId="0" borderId="0" xfId="0" applyNumberFormat="1" applyAlignment="1">
      <alignment horizontal="center"/>
    </xf>
    <xf numFmtId="0" fontId="16" fillId="0" borderId="0" xfId="0" applyFont="1" applyAlignment="1">
      <alignment vertical="top"/>
    </xf>
    <xf numFmtId="164" fontId="0" fillId="0" borderId="0" xfId="0" applyNumberFormat="1"/>
    <xf numFmtId="0" fontId="12" fillId="0" borderId="0" xfId="0" applyFont="1" applyAlignment="1">
      <alignment vertical="top"/>
    </xf>
    <xf numFmtId="0" fontId="18" fillId="0" borderId="0" xfId="0" applyFont="1"/>
    <xf numFmtId="0" fontId="12" fillId="0" borderId="0" xfId="0" applyFont="1" applyAlignment="1">
      <alignment vertical="center"/>
    </xf>
    <xf numFmtId="164" fontId="0" fillId="0" borderId="0" xfId="0" applyNumberFormat="1" applyAlignment="1">
      <alignment horizontal="center" wrapText="1"/>
    </xf>
    <xf numFmtId="0" fontId="5" fillId="0" borderId="0" xfId="0" applyFont="1" applyAlignment="1">
      <alignment horizontal="center" vertical="center"/>
    </xf>
    <xf numFmtId="164" fontId="0" fillId="0" borderId="0" xfId="0" applyNumberFormat="1" applyAlignment="1">
      <alignment horizontal="center" vertical="center"/>
    </xf>
    <xf numFmtId="164" fontId="5" fillId="0" borderId="0" xfId="0" applyNumberFormat="1" applyFont="1" applyAlignment="1">
      <alignment horizontal="center" vertical="center"/>
    </xf>
    <xf numFmtId="164" fontId="10" fillId="0" borderId="0" xfId="0" applyNumberFormat="1" applyFont="1" applyAlignment="1">
      <alignment horizontal="center" vertical="center"/>
    </xf>
    <xf numFmtId="0" fontId="19" fillId="0" borderId="0" xfId="0" applyFont="1"/>
    <xf numFmtId="0" fontId="20" fillId="0" borderId="0" xfId="0" applyFont="1"/>
    <xf numFmtId="166" fontId="0" fillId="0" borderId="0" xfId="0" applyNumberFormat="1"/>
    <xf numFmtId="9" fontId="4" fillId="7" borderId="0" xfId="0" applyNumberFormat="1" applyFont="1" applyFill="1" applyAlignment="1">
      <alignment horizontal="center" vertical="center" wrapText="1"/>
    </xf>
    <xf numFmtId="164" fontId="23" fillId="7" borderId="0" xfId="0" applyNumberFormat="1" applyFont="1" applyFill="1" applyAlignment="1">
      <alignment horizontal="center" vertical="center" wrapText="1"/>
    </xf>
    <xf numFmtId="0" fontId="21" fillId="7" borderId="1" xfId="0" applyFont="1" applyFill="1" applyBorder="1" applyAlignment="1">
      <alignment horizontal="center" vertical="center" wrapText="1"/>
    </xf>
    <xf numFmtId="164" fontId="21" fillId="7" borderId="0" xfId="0" applyNumberFormat="1" applyFont="1" applyFill="1" applyAlignment="1">
      <alignment horizontal="center" vertical="center" wrapText="1"/>
    </xf>
    <xf numFmtId="0" fontId="24" fillId="0" borderId="0" xfId="0" applyFont="1" applyAlignment="1">
      <alignment vertical="top" wrapText="1"/>
    </xf>
    <xf numFmtId="2" fontId="22" fillId="0" borderId="0" xfId="0" applyNumberFormat="1" applyFont="1" applyAlignment="1">
      <alignment horizontal="center"/>
    </xf>
    <xf numFmtId="164" fontId="23" fillId="0" borderId="0" xfId="0" applyNumberFormat="1" applyFont="1" applyAlignment="1">
      <alignment horizontal="center"/>
    </xf>
    <xf numFmtId="0" fontId="3" fillId="0" borderId="0" xfId="0" applyFont="1" applyAlignment="1">
      <alignment horizontal="center"/>
    </xf>
    <xf numFmtId="0" fontId="8" fillId="0" borderId="0" xfId="0" applyFont="1" applyAlignment="1">
      <alignment horizontal="center"/>
    </xf>
    <xf numFmtId="2" fontId="9" fillId="0" borderId="0" xfId="0" applyNumberFormat="1" applyFont="1" applyAlignment="1">
      <alignment horizontal="center"/>
    </xf>
    <xf numFmtId="0" fontId="17" fillId="0" borderId="0" xfId="0" applyFont="1" applyAlignment="1">
      <alignment horizontal="center"/>
    </xf>
    <xf numFmtId="0" fontId="2" fillId="0" borderId="0" xfId="0" applyFont="1" applyAlignment="1">
      <alignment horizontal="center" vertical="center"/>
    </xf>
    <xf numFmtId="9" fontId="1" fillId="0" borderId="0" xfId="1" applyAlignment="1">
      <alignment horizontal="center"/>
    </xf>
    <xf numFmtId="0" fontId="25" fillId="0" borderId="0" xfId="0" applyFont="1"/>
    <xf numFmtId="0" fontId="27" fillId="0" borderId="0" xfId="0" applyFont="1"/>
    <xf numFmtId="167" fontId="28" fillId="0" borderId="5" xfId="0" applyNumberFormat="1" applyFont="1" applyBorder="1"/>
    <xf numFmtId="0" fontId="29" fillId="8" borderId="5" xfId="0" applyFont="1" applyFill="1" applyBorder="1" applyAlignment="1">
      <alignment horizontal="center"/>
    </xf>
    <xf numFmtId="0" fontId="0" fillId="0" borderId="5" xfId="0" applyBorder="1"/>
    <xf numFmtId="0" fontId="0" fillId="0" borderId="5" xfId="0" applyBorder="1" applyAlignment="1">
      <alignment horizontal="center"/>
    </xf>
    <xf numFmtId="165" fontId="28" fillId="0" borderId="5" xfId="0" applyNumberFormat="1" applyFont="1" applyBorder="1"/>
    <xf numFmtId="164" fontId="28" fillId="0" borderId="5" xfId="0" applyNumberFormat="1" applyFont="1" applyBorder="1"/>
    <xf numFmtId="164" fontId="0" fillId="0" borderId="5" xfId="0" applyNumberFormat="1" applyBorder="1" applyAlignment="1">
      <alignment horizontal="center"/>
    </xf>
    <xf numFmtId="168" fontId="0" fillId="0" borderId="5" xfId="0" applyNumberFormat="1" applyBorder="1" applyAlignment="1">
      <alignment horizontal="center"/>
    </xf>
    <xf numFmtId="169" fontId="0" fillId="0" borderId="5" xfId="0" applyNumberFormat="1" applyBorder="1" applyAlignment="1">
      <alignment horizontal="center"/>
    </xf>
    <xf numFmtId="3" fontId="28" fillId="0" borderId="5" xfId="0" applyNumberFormat="1" applyFont="1" applyBorder="1" applyAlignment="1">
      <alignment horizontal="center"/>
    </xf>
    <xf numFmtId="9" fontId="3" fillId="6" borderId="7" xfId="0" applyNumberFormat="1" applyFont="1" applyFill="1" applyBorder="1" applyAlignment="1">
      <alignment horizontal="center" vertical="center" wrapText="1"/>
    </xf>
    <xf numFmtId="9" fontId="4" fillId="6" borderId="7" xfId="0" applyNumberFormat="1" applyFont="1" applyFill="1" applyBorder="1" applyAlignment="1">
      <alignment horizontal="center" vertical="center" wrapText="1"/>
    </xf>
    <xf numFmtId="0" fontId="5" fillId="5" borderId="1" xfId="0" applyFont="1" applyFill="1" applyBorder="1" applyAlignment="1">
      <alignment horizontal="center"/>
    </xf>
    <xf numFmtId="9" fontId="1" fillId="0" borderId="1" xfId="1" applyBorder="1" applyAlignment="1">
      <alignment horizontal="center"/>
    </xf>
    <xf numFmtId="9" fontId="3" fillId="4" borderId="1" xfId="0" applyNumberFormat="1" applyFont="1" applyFill="1" applyBorder="1" applyAlignment="1">
      <alignment horizontal="center" vertical="center" wrapText="1"/>
    </xf>
    <xf numFmtId="9" fontId="4" fillId="4" borderId="1" xfId="0" applyNumberFormat="1" applyFont="1" applyFill="1" applyBorder="1" applyAlignment="1">
      <alignment horizontal="center" vertical="center" wrapText="1"/>
    </xf>
    <xf numFmtId="164" fontId="10" fillId="4" borderId="1" xfId="0" applyNumberFormat="1" applyFont="1" applyFill="1" applyBorder="1" applyAlignment="1">
      <alignment horizontal="center"/>
    </xf>
    <xf numFmtId="2" fontId="10" fillId="4" borderId="1" xfId="0" applyNumberFormat="1" applyFont="1" applyFill="1" applyBorder="1" applyAlignment="1">
      <alignment horizontal="center"/>
    </xf>
    <xf numFmtId="9" fontId="3" fillId="4" borderId="1" xfId="1" applyFont="1" applyFill="1" applyBorder="1" applyAlignment="1">
      <alignment horizontal="center"/>
    </xf>
    <xf numFmtId="0" fontId="4" fillId="4" borderId="1" xfId="0" applyFont="1" applyFill="1" applyBorder="1" applyAlignment="1">
      <alignment horizontal="center"/>
    </xf>
    <xf numFmtId="164" fontId="10" fillId="10" borderId="1" xfId="0" applyNumberFormat="1" applyFont="1" applyFill="1" applyBorder="1" applyAlignment="1">
      <alignment horizontal="center"/>
    </xf>
    <xf numFmtId="2" fontId="10" fillId="10" borderId="1" xfId="0" applyNumberFormat="1" applyFont="1" applyFill="1" applyBorder="1" applyAlignment="1">
      <alignment horizontal="center"/>
    </xf>
    <xf numFmtId="164" fontId="3" fillId="5" borderId="1" xfId="0" applyNumberFormat="1" applyFont="1" applyFill="1" applyBorder="1" applyAlignment="1">
      <alignment horizontal="center" vertical="center" wrapText="1"/>
    </xf>
    <xf numFmtId="164" fontId="6" fillId="0" borderId="1" xfId="1" applyNumberFormat="1" applyFont="1" applyBorder="1" applyAlignment="1">
      <alignment horizontal="center" vertical="center" wrapText="1"/>
    </xf>
    <xf numFmtId="9" fontId="7" fillId="0" borderId="1" xfId="1" applyFont="1" applyBorder="1" applyAlignment="1">
      <alignment horizontal="center" vertical="center" wrapText="1"/>
    </xf>
    <xf numFmtId="1" fontId="7" fillId="0" borderId="1" xfId="0" applyNumberFormat="1" applyFont="1" applyBorder="1" applyAlignment="1">
      <alignment horizontal="center" vertical="center" wrapText="1"/>
    </xf>
    <xf numFmtId="164" fontId="9" fillId="0" borderId="1" xfId="1" applyNumberFormat="1" applyFont="1" applyBorder="1" applyAlignment="1">
      <alignment horizontal="center" vertical="center" wrapText="1"/>
    </xf>
    <xf numFmtId="164" fontId="0" fillId="0" borderId="1" xfId="0" quotePrefix="1" applyNumberFormat="1" applyBorder="1" applyAlignment="1">
      <alignment horizontal="center" vertical="center" wrapText="1"/>
    </xf>
    <xf numFmtId="164" fontId="1" fillId="4" borderId="1" xfId="1" applyNumberFormat="1" applyFill="1" applyBorder="1" applyAlignment="1">
      <alignment horizontal="center" vertical="center" wrapText="1"/>
    </xf>
    <xf numFmtId="164" fontId="1" fillId="3" borderId="1" xfId="1" applyNumberFormat="1" applyFill="1" applyBorder="1" applyAlignment="1">
      <alignment horizontal="center" vertical="center" wrapText="1"/>
    </xf>
    <xf numFmtId="164" fontId="1" fillId="5" borderId="1" xfId="1" applyNumberFormat="1" applyFill="1" applyBorder="1" applyAlignment="1">
      <alignment horizontal="center" vertical="center" wrapText="1"/>
    </xf>
    <xf numFmtId="164" fontId="1" fillId="0" borderId="1" xfId="1" applyNumberFormat="1" applyBorder="1" applyAlignment="1">
      <alignment horizontal="center" vertical="center" wrapText="1"/>
    </xf>
    <xf numFmtId="164" fontId="0" fillId="0" borderId="1" xfId="0" applyNumberFormat="1" applyBorder="1" applyAlignment="1">
      <alignment horizontal="center"/>
    </xf>
    <xf numFmtId="0" fontId="24" fillId="0" borderId="0" xfId="0" applyFont="1" applyAlignment="1">
      <alignment horizontal="left" vertical="top"/>
    </xf>
    <xf numFmtId="0" fontId="0" fillId="0" borderId="0" xfId="0" applyAlignment="1">
      <alignment horizontal="left"/>
    </xf>
    <xf numFmtId="0" fontId="18" fillId="0" borderId="0" xfId="0" applyFont="1" applyAlignment="1">
      <alignment horizontal="left"/>
    </xf>
    <xf numFmtId="0" fontId="12" fillId="0" borderId="0" xfId="0" applyFont="1" applyAlignment="1">
      <alignment horizontal="left"/>
    </xf>
    <xf numFmtId="0" fontId="12" fillId="0" borderId="0" xfId="0" applyFont="1" applyAlignment="1">
      <alignment horizontal="left" vertical="center"/>
    </xf>
    <xf numFmtId="0" fontId="31" fillId="0" borderId="0" xfId="0" applyFont="1" applyAlignment="1">
      <alignment horizontal="left"/>
    </xf>
    <xf numFmtId="0" fontId="15" fillId="0" borderId="0" xfId="0" applyFont="1" applyAlignment="1">
      <alignment horizontal="left"/>
    </xf>
    <xf numFmtId="0" fontId="16" fillId="0" borderId="0" xfId="0" applyFont="1" applyAlignment="1">
      <alignment horizontal="left" vertical="top"/>
    </xf>
    <xf numFmtId="0" fontId="20" fillId="0" borderId="0" xfId="0" applyFont="1" applyAlignment="1">
      <alignment horizontal="left"/>
    </xf>
    <xf numFmtId="0" fontId="5" fillId="0" borderId="0" xfId="0" applyFont="1" applyAlignment="1">
      <alignment horizontal="left"/>
    </xf>
    <xf numFmtId="0" fontId="0" fillId="2" borderId="1" xfId="0" applyFill="1" applyBorder="1" applyAlignment="1">
      <alignment horizontal="left" vertical="center"/>
    </xf>
    <xf numFmtId="0" fontId="3" fillId="6" borderId="7" xfId="0" applyFont="1" applyFill="1" applyBorder="1" applyAlignment="1">
      <alignment horizontal="left" vertical="center"/>
    </xf>
    <xf numFmtId="0" fontId="3" fillId="5" borderId="1" xfId="0" applyFont="1" applyFill="1" applyBorder="1" applyAlignment="1">
      <alignment horizontal="left" vertical="center"/>
    </xf>
    <xf numFmtId="0" fontId="4" fillId="5" borderId="1" xfId="0" applyFont="1" applyFill="1" applyBorder="1" applyAlignment="1">
      <alignment horizontal="left" vertical="center"/>
    </xf>
    <xf numFmtId="0" fontId="3" fillId="4" borderId="1" xfId="0" applyFont="1" applyFill="1" applyBorder="1" applyAlignment="1">
      <alignment horizontal="left" vertical="center"/>
    </xf>
    <xf numFmtId="0" fontId="4" fillId="4" borderId="1" xfId="0" applyFont="1" applyFill="1" applyBorder="1" applyAlignment="1">
      <alignment horizontal="left" vertical="center"/>
    </xf>
    <xf numFmtId="0" fontId="0" fillId="6" borderId="1" xfId="0" applyFill="1" applyBorder="1" applyAlignment="1">
      <alignment horizontal="left" vertical="center"/>
    </xf>
    <xf numFmtId="0" fontId="3" fillId="2" borderId="1" xfId="0" applyFont="1" applyFill="1" applyBorder="1" applyAlignment="1">
      <alignment horizontal="left" vertical="center"/>
    </xf>
    <xf numFmtId="0" fontId="9" fillId="2" borderId="1" xfId="0" applyFont="1" applyFill="1" applyBorder="1" applyAlignment="1">
      <alignment horizontal="left" vertical="center"/>
    </xf>
    <xf numFmtId="9" fontId="9" fillId="0" borderId="0" xfId="1" applyFont="1" applyAlignment="1">
      <alignment horizontal="center"/>
    </xf>
    <xf numFmtId="0" fontId="32" fillId="0" borderId="0" xfId="0" applyFont="1"/>
    <xf numFmtId="0" fontId="33" fillId="0" borderId="0" xfId="0" applyFont="1"/>
    <xf numFmtId="0" fontId="34" fillId="0" borderId="0" xfId="0" applyFont="1"/>
    <xf numFmtId="3" fontId="28" fillId="0" borderId="0" xfId="0" applyNumberFormat="1" applyFont="1" applyAlignment="1">
      <alignment horizontal="center"/>
    </xf>
    <xf numFmtId="0" fontId="36" fillId="0" borderId="0" xfId="0" applyFont="1"/>
    <xf numFmtId="0" fontId="37" fillId="8" borderId="8" xfId="0" applyFont="1" applyFill="1" applyBorder="1" applyAlignment="1">
      <alignment horizontal="center"/>
    </xf>
    <xf numFmtId="0" fontId="37" fillId="8" borderId="8" xfId="0" applyFont="1" applyFill="1" applyBorder="1"/>
    <xf numFmtId="2" fontId="0" fillId="0" borderId="8" xfId="0" applyNumberFormat="1" applyBorder="1" applyAlignment="1">
      <alignment horizontal="center"/>
    </xf>
    <xf numFmtId="0" fontId="38" fillId="0" borderId="0" xfId="0" applyFont="1"/>
    <xf numFmtId="0" fontId="39" fillId="8" borderId="9" xfId="0" applyFont="1" applyFill="1" applyBorder="1" applyAlignment="1">
      <alignment horizontal="center"/>
    </xf>
    <xf numFmtId="0" fontId="0" fillId="0" borderId="9" xfId="0" applyBorder="1"/>
    <xf numFmtId="0" fontId="0" fillId="0" borderId="9" xfId="0" applyBorder="1" applyAlignment="1">
      <alignment horizontal="center"/>
    </xf>
    <xf numFmtId="164" fontId="0" fillId="0" borderId="9" xfId="0" applyNumberFormat="1" applyBorder="1" applyAlignment="1">
      <alignment horizontal="center"/>
    </xf>
    <xf numFmtId="2" fontId="0" fillId="0" borderId="9" xfId="0" applyNumberFormat="1" applyBorder="1" applyAlignment="1">
      <alignment horizontal="center"/>
    </xf>
    <xf numFmtId="0" fontId="0" fillId="11" borderId="9" xfId="0" applyFill="1" applyBorder="1"/>
    <xf numFmtId="0" fontId="0" fillId="11" borderId="9" xfId="0" applyFill="1" applyBorder="1" applyAlignment="1">
      <alignment horizontal="center"/>
    </xf>
    <xf numFmtId="164" fontId="0" fillId="11" borderId="9" xfId="0" applyNumberFormat="1" applyFill="1" applyBorder="1" applyAlignment="1">
      <alignment horizontal="center"/>
    </xf>
    <xf numFmtId="2" fontId="0" fillId="11" borderId="9" xfId="0" applyNumberFormat="1" applyFill="1" applyBorder="1" applyAlignment="1">
      <alignment horizontal="center"/>
    </xf>
    <xf numFmtId="0" fontId="35" fillId="0" borderId="0" xfId="0" applyFont="1" applyAlignment="1">
      <alignment vertical="top"/>
    </xf>
    <xf numFmtId="169" fontId="0" fillId="0" borderId="0" xfId="0" applyNumberFormat="1" applyAlignment="1">
      <alignment horizontal="center"/>
    </xf>
    <xf numFmtId="164" fontId="40" fillId="0" borderId="0" xfId="0" applyNumberFormat="1" applyFont="1"/>
    <xf numFmtId="2" fontId="28" fillId="0" borderId="0" xfId="0" applyNumberFormat="1" applyFont="1"/>
    <xf numFmtId="169" fontId="40" fillId="0" borderId="0" xfId="0" applyNumberFormat="1" applyFont="1" applyAlignment="1">
      <alignment horizontal="center"/>
    </xf>
    <xf numFmtId="0" fontId="41" fillId="0" borderId="0" xfId="0" applyFont="1"/>
    <xf numFmtId="0" fontId="42" fillId="0" borderId="0" xfId="0" applyFont="1"/>
    <xf numFmtId="0" fontId="45" fillId="0" borderId="0" xfId="0" applyFont="1"/>
    <xf numFmtId="0" fontId="48" fillId="8" borderId="10" xfId="0" applyFont="1" applyFill="1" applyBorder="1" applyAlignment="1">
      <alignment horizontal="center" vertical="center" wrapText="1"/>
    </xf>
    <xf numFmtId="0" fontId="47" fillId="12" borderId="10" xfId="0" applyFont="1" applyFill="1" applyBorder="1" applyAlignment="1">
      <alignment vertical="top" wrapText="1"/>
    </xf>
    <xf numFmtId="0" fontId="44" fillId="12" borderId="10" xfId="0" applyFont="1" applyFill="1" applyBorder="1" applyAlignment="1">
      <alignment vertical="top" wrapText="1"/>
    </xf>
    <xf numFmtId="0" fontId="49" fillId="0" borderId="0" xfId="0" applyFont="1"/>
    <xf numFmtId="0" fontId="51" fillId="0" borderId="0" xfId="0" applyFont="1"/>
    <xf numFmtId="0" fontId="52" fillId="8" borderId="11" xfId="0" applyFont="1" applyFill="1" applyBorder="1" applyAlignment="1">
      <alignment horizontal="center" vertical="center" wrapText="1"/>
    </xf>
    <xf numFmtId="0" fontId="0" fillId="0" borderId="11" xfId="0" applyBorder="1" applyAlignment="1">
      <alignment vertical="top" wrapText="1"/>
    </xf>
    <xf numFmtId="0" fontId="0" fillId="11" borderId="11" xfId="0" applyFill="1" applyBorder="1" applyAlignment="1">
      <alignment vertical="top" wrapText="1"/>
    </xf>
    <xf numFmtId="1" fontId="0" fillId="11" borderId="11" xfId="0" applyNumberFormat="1" applyFill="1" applyBorder="1" applyAlignment="1">
      <alignment horizontal="center" vertical="center" wrapText="1"/>
    </xf>
    <xf numFmtId="164" fontId="0" fillId="11" borderId="11" xfId="0" applyNumberFormat="1" applyFill="1" applyBorder="1" applyAlignment="1">
      <alignment horizontal="center" vertical="center" wrapText="1"/>
    </xf>
    <xf numFmtId="2" fontId="0" fillId="11" borderId="11" xfId="0" applyNumberFormat="1" applyFill="1" applyBorder="1" applyAlignment="1">
      <alignment horizontal="center" vertical="center" wrapText="1"/>
    </xf>
    <xf numFmtId="1" fontId="0" fillId="0" borderId="11" xfId="0" applyNumberFormat="1" applyBorder="1" applyAlignment="1">
      <alignment horizontal="center" vertical="center" wrapText="1"/>
    </xf>
    <xf numFmtId="164" fontId="0" fillId="0" borderId="11" xfId="0" applyNumberFormat="1" applyBorder="1" applyAlignment="1">
      <alignment horizontal="center" vertical="center" wrapText="1"/>
    </xf>
    <xf numFmtId="2" fontId="0" fillId="0" borderId="11" xfId="0" applyNumberFormat="1" applyBorder="1" applyAlignment="1">
      <alignment horizontal="center" vertical="center" wrapText="1"/>
    </xf>
    <xf numFmtId="0" fontId="0" fillId="0" borderId="0" xfId="0" applyAlignment="1">
      <alignment horizontal="left" vertical="center" indent="1"/>
    </xf>
    <xf numFmtId="0" fontId="5" fillId="0" borderId="0" xfId="0" applyFont="1" applyAlignment="1">
      <alignment horizontal="left" vertical="center" indent="1"/>
    </xf>
    <xf numFmtId="0" fontId="53" fillId="0" borderId="0" xfId="0" applyFont="1"/>
    <xf numFmtId="0" fontId="55" fillId="0" borderId="0" xfId="0" applyFont="1"/>
    <xf numFmtId="167" fontId="56" fillId="0" borderId="0" xfId="0" applyNumberFormat="1" applyFont="1"/>
    <xf numFmtId="0" fontId="57" fillId="0" borderId="0" xfId="0" applyFont="1"/>
    <xf numFmtId="0" fontId="55" fillId="0" borderId="12" xfId="0" applyFont="1" applyBorder="1" applyAlignment="1">
      <alignment horizontal="center" wrapText="1"/>
    </xf>
    <xf numFmtId="0" fontId="58" fillId="0" borderId="12" xfId="0" applyFont="1" applyBorder="1"/>
    <xf numFmtId="170" fontId="56" fillId="0" borderId="12" xfId="0" applyNumberFormat="1" applyFont="1" applyBorder="1"/>
    <xf numFmtId="0" fontId="58" fillId="0" borderId="12" xfId="0" applyFont="1" applyBorder="1" applyAlignment="1">
      <alignment horizontal="left"/>
    </xf>
    <xf numFmtId="170" fontId="58" fillId="0" borderId="12" xfId="0" applyNumberFormat="1" applyFont="1" applyBorder="1"/>
    <xf numFmtId="0" fontId="55" fillId="0" borderId="12" xfId="0" applyFont="1" applyBorder="1" applyAlignment="1">
      <alignment horizontal="center"/>
    </xf>
    <xf numFmtId="0" fontId="59" fillId="0" borderId="12" xfId="0" applyFont="1" applyBorder="1" applyAlignment="1">
      <alignment wrapText="1"/>
    </xf>
    <xf numFmtId="4" fontId="56" fillId="0" borderId="12" xfId="0" applyNumberFormat="1" applyFont="1" applyBorder="1"/>
    <xf numFmtId="4" fontId="58" fillId="0" borderId="12" xfId="0" applyNumberFormat="1" applyFont="1" applyBorder="1"/>
    <xf numFmtId="165" fontId="56" fillId="0" borderId="12" xfId="0" applyNumberFormat="1" applyFont="1" applyBorder="1"/>
    <xf numFmtId="165" fontId="58" fillId="0" borderId="12" xfId="0" applyNumberFormat="1" applyFont="1" applyBorder="1"/>
    <xf numFmtId="171" fontId="56" fillId="0" borderId="12" xfId="0" applyNumberFormat="1" applyFont="1" applyBorder="1"/>
    <xf numFmtId="171" fontId="58" fillId="0" borderId="12" xfId="0" applyNumberFormat="1" applyFont="1" applyBorder="1"/>
    <xf numFmtId="164" fontId="56" fillId="0" borderId="12" xfId="0" applyNumberFormat="1" applyFont="1" applyBorder="1"/>
    <xf numFmtId="164" fontId="58" fillId="0" borderId="12" xfId="0" applyNumberFormat="1" applyFont="1" applyBorder="1"/>
    <xf numFmtId="3" fontId="56" fillId="0" borderId="12" xfId="0" applyNumberFormat="1" applyFont="1" applyBorder="1"/>
    <xf numFmtId="3" fontId="58" fillId="0" borderId="12" xfId="0" applyNumberFormat="1" applyFont="1" applyBorder="1"/>
    <xf numFmtId="0" fontId="60" fillId="0" borderId="12" xfId="0" applyFont="1" applyBorder="1" applyAlignment="1">
      <alignment horizontal="center"/>
    </xf>
    <xf numFmtId="0" fontId="26" fillId="0" borderId="0" xfId="0" applyFont="1" applyAlignment="1">
      <alignment vertical="top" wrapText="1"/>
    </xf>
    <xf numFmtId="0" fontId="0" fillId="0" borderId="0" xfId="0"/>
    <xf numFmtId="0" fontId="35" fillId="0" borderId="0" xfId="0" applyFont="1" applyAlignment="1">
      <alignment vertical="top" wrapText="1"/>
    </xf>
    <xf numFmtId="0" fontId="43" fillId="0" borderId="0" xfId="0" applyFont="1" applyAlignment="1">
      <alignment vertical="top" wrapText="1"/>
    </xf>
    <xf numFmtId="0" fontId="30" fillId="9" borderId="11" xfId="0" applyFont="1" applyFill="1" applyBorder="1" applyAlignment="1">
      <alignment horizontal="center"/>
    </xf>
    <xf numFmtId="0" fontId="0" fillId="0" borderId="6" xfId="0" applyBorder="1"/>
    <xf numFmtId="0" fontId="16" fillId="0" borderId="0" xfId="0" applyFont="1" applyAlignment="1">
      <alignment vertical="top"/>
    </xf>
    <xf numFmtId="0" fontId="0" fillId="0" borderId="0" xfId="0" applyAlignment="1">
      <alignment horizontal="center" vertical="center"/>
    </xf>
    <xf numFmtId="0" fontId="0" fillId="0" borderId="0" xfId="0" applyAlignment="1">
      <alignment horizontal="center"/>
    </xf>
    <xf numFmtId="0" fontId="5" fillId="0" borderId="0" xfId="0" applyFont="1"/>
    <xf numFmtId="9" fontId="3" fillId="5" borderId="1" xfId="0" applyNumberFormat="1" applyFont="1" applyFill="1" applyBorder="1" applyAlignment="1">
      <alignment horizontal="center" vertical="center" wrapText="1"/>
    </xf>
    <xf numFmtId="0" fontId="0" fillId="0" borderId="3" xfId="0" applyBorder="1"/>
    <xf numFmtId="164" fontId="10" fillId="0" borderId="1" xfId="0" applyNumberFormat="1" applyFont="1" applyBorder="1" applyAlignment="1">
      <alignment horizontal="center" vertical="center"/>
    </xf>
    <xf numFmtId="0" fontId="13" fillId="0" borderId="0" xfId="0" applyFont="1" applyAlignment="1">
      <alignment vertical="top"/>
    </xf>
    <xf numFmtId="0" fontId="24" fillId="7" borderId="1" xfId="0" applyFont="1" applyFill="1" applyBorder="1" applyAlignment="1">
      <alignment vertical="top" wrapText="1"/>
    </xf>
    <xf numFmtId="0" fontId="0" fillId="0" borderId="4" xfId="0" applyBorder="1"/>
    <xf numFmtId="0" fontId="0" fillId="0" borderId="2" xfId="0" applyBorder="1"/>
    <xf numFmtId="0" fontId="16" fillId="0" borderId="0" xfId="0" applyFont="1"/>
    <xf numFmtId="0" fontId="0" fillId="0" borderId="1" xfId="0" applyBorder="1" applyAlignment="1">
      <alignment horizontal="center" vertical="center" wrapText="1"/>
    </xf>
    <xf numFmtId="164" fontId="11" fillId="0" borderId="1" xfId="0" applyNumberFormat="1" applyFont="1" applyBorder="1" applyAlignment="1">
      <alignment horizontal="center" vertical="center"/>
    </xf>
    <xf numFmtId="0" fontId="15" fillId="0" borderId="0" xfId="0" applyFont="1" applyAlignment="1">
      <alignment vertical="top"/>
    </xf>
    <xf numFmtId="164" fontId="10" fillId="5" borderId="1" xfId="0" applyNumberFormat="1" applyFont="1" applyFill="1" applyBorder="1" applyAlignment="1">
      <alignment horizontal="center" vertical="center"/>
    </xf>
    <xf numFmtId="164" fontId="11" fillId="5" borderId="1" xfId="0" applyNumberFormat="1" applyFont="1" applyFill="1" applyBorder="1" applyAlignment="1">
      <alignment horizontal="center" vertical="center"/>
    </xf>
    <xf numFmtId="0" fontId="0" fillId="5" borderId="1" xfId="0" applyFill="1" applyBorder="1" applyAlignment="1">
      <alignment horizontal="center"/>
    </xf>
    <xf numFmtId="0" fontId="50" fillId="0" borderId="0" xfId="0" applyFont="1" applyAlignment="1">
      <alignment vertical="top" wrapText="1"/>
    </xf>
    <xf numFmtId="0" fontId="54" fillId="0" borderId="0" xfId="0" applyFont="1" applyAlignment="1">
      <alignment vertical="top" wrapText="1"/>
    </xf>
    <xf numFmtId="0" fontId="47" fillId="0" borderId="0" xfId="0" applyFont="1" applyAlignment="1">
      <alignment vertical="top" wrapText="1"/>
    </xf>
    <xf numFmtId="0" fontId="46" fillId="0" borderId="0" xfId="0" applyFont="1" applyAlignment="1">
      <alignment vertical="top" wrapText="1"/>
    </xf>
  </cellXfs>
  <cellStyles count="3">
    <cellStyle name="Comma 2" xfId="2" xr:uid="{00000000-0005-0000-0000-000002000000}"/>
    <cellStyle name="Normal" xfId="0" builtinId="0"/>
    <cellStyle name="Percent" xfId="1" builtinId="5"/>
  </cellStyles>
  <dxfs count="4">
    <dxf>
      <font>
        <b/>
        <color rgb="FF9C6500"/>
      </font>
      <fill>
        <patternFill patternType="solid">
          <fgColor rgb="FFFFF2CC"/>
        </patternFill>
      </fill>
    </dxf>
    <dxf>
      <font>
        <b/>
        <sz val="16"/>
        <color rgb="FFFFFFFF"/>
      </font>
      <fill>
        <patternFill patternType="solid">
          <fgColor rgb="FFBF8F00"/>
        </patternFill>
      </fill>
    </dxf>
    <dxf>
      <font>
        <b/>
        <sz val="16"/>
        <color rgb="FFFFFFFF"/>
      </font>
      <fill>
        <patternFill patternType="solid">
          <fgColor rgb="FFC00000"/>
        </patternFill>
      </fill>
    </dxf>
    <dxf>
      <font>
        <b/>
        <sz val="16"/>
        <color rgb="FFFFFFFF"/>
      </font>
      <fill>
        <patternFill patternType="solid">
          <fgColor rgb="FF54823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J121"/>
  <sheetViews>
    <sheetView zoomScaleNormal="100" workbookViewId="0">
      <pane xSplit="2" ySplit="5" topLeftCell="C41" activePane="bottomRight" state="frozen"/>
      <selection pane="topRight" activeCell="C1" sqref="C1"/>
      <selection pane="bottomLeft" activeCell="A10" sqref="A10"/>
      <selection pane="bottomRight" activeCell="J10" sqref="J10"/>
    </sheetView>
  </sheetViews>
  <sheetFormatPr defaultRowHeight="13.2" x14ac:dyDescent="0.25"/>
  <cols>
    <col min="1" max="1" width="4.5546875" customWidth="1"/>
    <col min="2" max="2" width="57.88671875" customWidth="1"/>
    <col min="3" max="3" width="22.44140625" style="64" bestFit="1" customWidth="1"/>
    <col min="4" max="4" width="28.21875" style="64" customWidth="1"/>
    <col min="5" max="5" width="39.44140625" style="64" customWidth="1"/>
    <col min="6" max="6" width="11" customWidth="1"/>
    <col min="7" max="7" width="13" customWidth="1"/>
    <col min="8" max="8" width="12.88671875" style="67" customWidth="1"/>
    <col min="9" max="9" width="13.88671875" style="67" customWidth="1"/>
    <col min="10" max="10" width="8.88671875" style="67" customWidth="1"/>
    <col min="11" max="11" width="21.77734375" bestFit="1" customWidth="1"/>
    <col min="13" max="13" width="18.5546875" customWidth="1"/>
  </cols>
  <sheetData>
    <row r="2" spans="2:10" ht="13.8" customHeight="1" x14ac:dyDescent="0.25">
      <c r="B2" s="244" t="s">
        <v>66</v>
      </c>
      <c r="C2" s="238"/>
      <c r="D2" s="238"/>
      <c r="E2" s="238"/>
      <c r="F2" s="232"/>
      <c r="G2" s="232"/>
      <c r="H2" s="239"/>
      <c r="I2" s="239"/>
      <c r="J2" s="239"/>
    </row>
    <row r="3" spans="2:10" ht="16.8" customHeight="1" x14ac:dyDescent="0.35">
      <c r="C3" s="65"/>
    </row>
    <row r="4" spans="2:10" ht="39.6" customHeight="1" x14ac:dyDescent="0.25">
      <c r="B4" s="66" t="s">
        <v>67</v>
      </c>
      <c r="C4" s="34" t="s">
        <v>68</v>
      </c>
      <c r="D4" s="21" t="s">
        <v>69</v>
      </c>
      <c r="E4" s="24" t="s">
        <v>70</v>
      </c>
      <c r="F4" s="2" t="s">
        <v>71</v>
      </c>
      <c r="G4" s="2" t="s">
        <v>72</v>
      </c>
      <c r="H4" s="2" t="s">
        <v>73</v>
      </c>
      <c r="I4" s="2" t="s">
        <v>74</v>
      </c>
      <c r="J4" s="2" t="s">
        <v>75</v>
      </c>
    </row>
    <row r="5" spans="2:10" s="67" customFormat="1" x14ac:dyDescent="0.25">
      <c r="B5" s="22" t="s">
        <v>76</v>
      </c>
      <c r="C5" s="35">
        <v>0.1</v>
      </c>
      <c r="D5" s="35">
        <f>D26/F26</f>
        <v>0.3</v>
      </c>
      <c r="E5" s="35">
        <f>E26/F26</f>
        <v>0.6</v>
      </c>
      <c r="F5" s="23">
        <f>SUM(C5:E5)</f>
        <v>1</v>
      </c>
      <c r="G5" s="23">
        <f>SUM(G6:G11)</f>
        <v>1</v>
      </c>
    </row>
    <row r="6" spans="2:10" s="67" customFormat="1" ht="13.8" customHeight="1" x14ac:dyDescent="0.25">
      <c r="B6" s="24" t="s">
        <v>77</v>
      </c>
      <c r="C6" s="31">
        <v>0.3</v>
      </c>
      <c r="D6" s="31">
        <v>0</v>
      </c>
      <c r="E6" s="31">
        <f>(G6-C5*C6)/E5</f>
        <v>3.333333333333334E-2</v>
      </c>
      <c r="F6" s="31">
        <f t="shared" ref="F6:F11" si="0">C6*C$5+D6*D$5+E6*E$5</f>
        <v>0.05</v>
      </c>
      <c r="G6" s="31">
        <v>0.05</v>
      </c>
      <c r="H6" s="250">
        <v>1.7000000000000001E-2</v>
      </c>
      <c r="I6" s="243">
        <v>5.0000000000000001E-3</v>
      </c>
    </row>
    <row r="7" spans="2:10" s="67" customFormat="1" ht="13.8" customHeight="1" x14ac:dyDescent="0.25">
      <c r="B7" s="24" t="s">
        <v>78</v>
      </c>
      <c r="C7" s="31">
        <f>1-C6</f>
        <v>0.7</v>
      </c>
      <c r="D7" s="31">
        <v>0</v>
      </c>
      <c r="E7" s="31">
        <f>(G7-C5*C7)/E5</f>
        <v>5.0000000000000024E-2</v>
      </c>
      <c r="F7" s="31">
        <f t="shared" si="0"/>
        <v>0.1</v>
      </c>
      <c r="G7" s="31">
        <v>0.1</v>
      </c>
      <c r="H7" s="242"/>
      <c r="I7" s="242"/>
    </row>
    <row r="8" spans="2:10" s="67" customFormat="1" ht="13.8" customHeight="1" x14ac:dyDescent="0.3">
      <c r="B8" s="24" t="s">
        <v>79</v>
      </c>
      <c r="C8" s="31">
        <v>0</v>
      </c>
      <c r="D8" s="31">
        <v>0.35</v>
      </c>
      <c r="E8" s="31">
        <f>MAX(0,G8-D5)/E5*0.35</f>
        <v>0.14583333333333337</v>
      </c>
      <c r="F8" s="31">
        <f t="shared" si="0"/>
        <v>0.1925</v>
      </c>
      <c r="G8" s="241">
        <v>0.55000000000000004</v>
      </c>
      <c r="H8" s="250">
        <f>SUMPRODUCT(G13:G17,H13:H17)</f>
        <v>0.10704000000000001</v>
      </c>
      <c r="I8" s="243">
        <f>SUMPRODUCT(G13:G17,I13:I17)</f>
        <v>0.11720500000000002</v>
      </c>
      <c r="J8" s="104">
        <f>(H8-$H$6)/I8</f>
        <v>0.76822661149268368</v>
      </c>
    </row>
    <row r="9" spans="2:10" s="67" customFormat="1" x14ac:dyDescent="0.25">
      <c r="B9" s="24" t="s">
        <v>80</v>
      </c>
      <c r="C9" s="31">
        <v>0</v>
      </c>
      <c r="D9" s="31">
        <v>0.65</v>
      </c>
      <c r="E9" s="31">
        <f>MAX(0,G8-D5)/E5*0.65</f>
        <v>0.27083333333333343</v>
      </c>
      <c r="F9" s="31">
        <f t="shared" si="0"/>
        <v>0.35750000000000004</v>
      </c>
      <c r="G9" s="242"/>
      <c r="H9" s="242"/>
      <c r="I9" s="242"/>
    </row>
    <row r="10" spans="2:10" s="67" customFormat="1" ht="13.8" customHeight="1" x14ac:dyDescent="0.3">
      <c r="B10" s="24" t="s">
        <v>81</v>
      </c>
      <c r="C10" s="31">
        <v>0</v>
      </c>
      <c r="D10" s="31">
        <v>0</v>
      </c>
      <c r="E10" s="31">
        <f>(G10/E5)*0.35</f>
        <v>0.17499999999999999</v>
      </c>
      <c r="F10" s="31">
        <f t="shared" si="0"/>
        <v>0.105</v>
      </c>
      <c r="G10" s="241">
        <v>0.3</v>
      </c>
      <c r="H10" s="250">
        <f>SUMPRODUCT(G19:G21,H19:H21)</f>
        <v>3.2299999999999995E-2</v>
      </c>
      <c r="I10" s="243">
        <f>SUMPRODUCT(G19:G21,I19:I21)</f>
        <v>5.4094999999999997E-2</v>
      </c>
      <c r="J10" s="104">
        <f>(H10-$H$6)/I10</f>
        <v>0.2828357519179221</v>
      </c>
    </row>
    <row r="11" spans="2:10" s="67" customFormat="1" x14ac:dyDescent="0.25">
      <c r="B11" s="24" t="s">
        <v>82</v>
      </c>
      <c r="C11" s="31">
        <v>0</v>
      </c>
      <c r="D11" s="31">
        <v>0</v>
      </c>
      <c r="E11" s="31">
        <f>(G10/E5)*0.65</f>
        <v>0.32500000000000001</v>
      </c>
      <c r="F11" s="31">
        <f t="shared" si="0"/>
        <v>0.19500000000000001</v>
      </c>
      <c r="G11" s="242"/>
      <c r="H11" s="242"/>
      <c r="I11" s="242"/>
    </row>
    <row r="12" spans="2:10" s="29" customFormat="1" x14ac:dyDescent="0.25">
      <c r="B12" s="36" t="s">
        <v>83</v>
      </c>
      <c r="C12" s="25">
        <f>SUM(C6:C11)</f>
        <v>1</v>
      </c>
      <c r="D12" s="25">
        <f>SUM(D6:D11)</f>
        <v>1</v>
      </c>
      <c r="E12" s="25">
        <f>SUM(E6:E11)</f>
        <v>1.0000000000000002</v>
      </c>
      <c r="F12" s="25">
        <f>SUM(F6:F11)</f>
        <v>1</v>
      </c>
      <c r="G12" s="30">
        <f>SUM(G6:G11)</f>
        <v>1</v>
      </c>
    </row>
    <row r="13" spans="2:10" s="67" customFormat="1" ht="13.8" customHeight="1" x14ac:dyDescent="0.3">
      <c r="B13" s="37" t="s">
        <v>84</v>
      </c>
      <c r="C13" s="27">
        <f>100%</f>
        <v>1</v>
      </c>
      <c r="D13" s="27">
        <f>100%</f>
        <v>1</v>
      </c>
      <c r="E13" s="27">
        <v>0.1</v>
      </c>
      <c r="F13" s="27">
        <f>C13*C$5+D13*D$5+E13*E$5</f>
        <v>0.46</v>
      </c>
      <c r="G13" s="27">
        <v>0.5</v>
      </c>
      <c r="H13" s="105">
        <v>9.6000000000000002E-2</v>
      </c>
      <c r="I13" s="105">
        <v>9.1300000000000006E-2</v>
      </c>
      <c r="J13" s="104">
        <f>(H13-$H$6)/I13</f>
        <v>0.86527929901423872</v>
      </c>
    </row>
    <row r="14" spans="2:10" s="67" customFormat="1" ht="13.8" customHeight="1" x14ac:dyDescent="0.3">
      <c r="B14" s="37" t="s">
        <v>85</v>
      </c>
      <c r="C14" s="27">
        <v>0</v>
      </c>
      <c r="D14" s="27">
        <v>0</v>
      </c>
      <c r="E14" s="27">
        <v>0.4</v>
      </c>
      <c r="F14" s="27">
        <f>C14*C$5+D14*D$5+E14*E$5</f>
        <v>0.24</v>
      </c>
      <c r="G14" s="27">
        <v>0.25</v>
      </c>
      <c r="H14" s="105">
        <v>0.12670000000000001</v>
      </c>
      <c r="I14" s="105">
        <v>0.1245</v>
      </c>
      <c r="J14" s="104">
        <f>(H14-$H$6)/I14</f>
        <v>0.8811244979919679</v>
      </c>
    </row>
    <row r="15" spans="2:10" s="67" customFormat="1" ht="13.8" customHeight="1" x14ac:dyDescent="0.3">
      <c r="B15" s="37" t="s">
        <v>86</v>
      </c>
      <c r="C15" s="27">
        <v>0</v>
      </c>
      <c r="D15" s="27">
        <v>0</v>
      </c>
      <c r="E15" s="27">
        <v>0.15</v>
      </c>
      <c r="F15" s="27">
        <f>C15*C$5+D15*D$5+E15*E$5</f>
        <v>0.09</v>
      </c>
      <c r="G15" s="27">
        <v>0.05</v>
      </c>
      <c r="H15" s="105">
        <v>0.1239</v>
      </c>
      <c r="I15" s="105">
        <v>0.1336</v>
      </c>
      <c r="J15" s="104">
        <f>(H15-$H$6)/I15</f>
        <v>0.80014970059880242</v>
      </c>
    </row>
    <row r="16" spans="2:10" s="67" customFormat="1" ht="13.8" customHeight="1" x14ac:dyDescent="0.3">
      <c r="B16" s="37" t="s">
        <v>87</v>
      </c>
      <c r="C16" s="27">
        <v>0</v>
      </c>
      <c r="D16" s="27">
        <v>0</v>
      </c>
      <c r="E16" s="27">
        <v>0.25</v>
      </c>
      <c r="F16" s="27">
        <f>C16*C$5+D16*D$5+E16*E$5</f>
        <v>0.15</v>
      </c>
      <c r="G16" s="27">
        <v>0.15</v>
      </c>
      <c r="H16" s="105">
        <v>0.1091</v>
      </c>
      <c r="I16" s="105">
        <v>0.16520000000000001</v>
      </c>
      <c r="J16" s="104">
        <f>(H16-$H$6)/I16</f>
        <v>0.55750605326876512</v>
      </c>
    </row>
    <row r="17" spans="2:10" s="67" customFormat="1" ht="13.8" customHeight="1" x14ac:dyDescent="0.3">
      <c r="B17" s="37" t="s">
        <v>88</v>
      </c>
      <c r="C17" s="27">
        <v>0</v>
      </c>
      <c r="D17" s="27">
        <v>0</v>
      </c>
      <c r="E17" s="27">
        <v>0.1</v>
      </c>
      <c r="F17" s="27">
        <f>C17*C$5+D17*D$5+E17*E$5</f>
        <v>0.06</v>
      </c>
      <c r="G17" s="27">
        <v>0.05</v>
      </c>
      <c r="H17" s="105">
        <v>9.6100000000000005E-2</v>
      </c>
      <c r="I17" s="111">
        <v>0.1794</v>
      </c>
      <c r="J17" s="111">
        <f>(H17-$H$6)/I17</f>
        <v>0.44091415830546266</v>
      </c>
    </row>
    <row r="18" spans="2:10" s="29" customFormat="1" x14ac:dyDescent="0.25">
      <c r="B18" s="38" t="s">
        <v>83</v>
      </c>
      <c r="C18" s="26">
        <f>SUM(C13:C17)</f>
        <v>1</v>
      </c>
      <c r="D18" s="26">
        <f>SUM(D13:D17)</f>
        <v>1</v>
      </c>
      <c r="E18" s="26">
        <f>SUM(E13:E17)</f>
        <v>1</v>
      </c>
      <c r="F18" s="26">
        <f>SUM(F13:F17)</f>
        <v>1</v>
      </c>
      <c r="G18" s="28">
        <f>SUM(G13:G17)</f>
        <v>1</v>
      </c>
      <c r="I18" s="111"/>
      <c r="J18" s="111"/>
    </row>
    <row r="19" spans="2:10" s="29" customFormat="1" ht="13.8" customHeight="1" x14ac:dyDescent="0.3">
      <c r="B19" s="38" t="s">
        <v>89</v>
      </c>
      <c r="C19" s="26"/>
      <c r="D19" s="26"/>
      <c r="E19" s="26"/>
      <c r="F19" s="26"/>
      <c r="G19" s="100">
        <v>0.7</v>
      </c>
      <c r="H19" s="105">
        <v>2.5999999999999999E-2</v>
      </c>
      <c r="I19" s="111">
        <v>0.05</v>
      </c>
      <c r="J19" s="111">
        <f>(H19-$H$6)/I19</f>
        <v>0.17999999999999994</v>
      </c>
    </row>
    <row r="20" spans="2:10" s="29" customFormat="1" ht="13.8" customHeight="1" x14ac:dyDescent="0.3">
      <c r="B20" s="38" t="s">
        <v>90</v>
      </c>
      <c r="C20" s="26"/>
      <c r="D20" s="26"/>
      <c r="E20" s="26"/>
      <c r="F20" s="26"/>
      <c r="G20" s="100">
        <v>0.15</v>
      </c>
      <c r="H20" s="105">
        <v>5.5199999999999999E-2</v>
      </c>
      <c r="I20" s="111">
        <v>7.4999999999999997E-2</v>
      </c>
      <c r="J20" s="111">
        <f>(H20-$H$6)/I20</f>
        <v>0.5093333333333333</v>
      </c>
    </row>
    <row r="21" spans="2:10" s="29" customFormat="1" ht="13.8" customHeight="1" x14ac:dyDescent="0.3">
      <c r="B21" s="38" t="s">
        <v>91</v>
      </c>
      <c r="C21" s="26"/>
      <c r="D21" s="26"/>
      <c r="E21" s="26"/>
      <c r="F21" s="26"/>
      <c r="G21" s="100">
        <v>0.15</v>
      </c>
      <c r="H21" s="105">
        <v>3.8800000000000001E-2</v>
      </c>
      <c r="I21" s="111">
        <v>5.2299999999999999E-2</v>
      </c>
      <c r="J21" s="111">
        <f>(H21-$H$6)/I21</f>
        <v>0.4168260038240918</v>
      </c>
    </row>
    <row r="22" spans="2:10" s="29" customFormat="1" x14ac:dyDescent="0.25">
      <c r="B22" s="101" t="s">
        <v>92</v>
      </c>
      <c r="C22" s="26"/>
      <c r="D22" s="26"/>
      <c r="E22" s="26"/>
      <c r="F22" s="26"/>
      <c r="G22" s="102">
        <f>SUM(G19:G21)</f>
        <v>1</v>
      </c>
      <c r="I22" s="111"/>
      <c r="J22" s="111"/>
    </row>
    <row r="23" spans="2:10" s="29" customFormat="1" ht="13.8" customHeight="1" x14ac:dyDescent="0.3">
      <c r="B23" s="38" t="s">
        <v>93</v>
      </c>
      <c r="C23" s="26"/>
      <c r="D23" s="26"/>
      <c r="E23" s="26"/>
      <c r="F23" s="26"/>
      <c r="G23" s="99"/>
      <c r="H23" s="105">
        <v>7.7499999999999999E-2</v>
      </c>
      <c r="I23" s="105">
        <v>0.17</v>
      </c>
      <c r="J23" s="104">
        <f>(H23-$H$6)/I23</f>
        <v>0.35588235294117643</v>
      </c>
    </row>
    <row r="24" spans="2:10" s="29" customFormat="1" x14ac:dyDescent="0.25">
      <c r="B24" s="245" t="s">
        <v>94</v>
      </c>
      <c r="C24" s="246"/>
      <c r="D24" s="246"/>
      <c r="E24" s="246"/>
      <c r="F24" s="246"/>
      <c r="G24" s="246"/>
      <c r="H24" s="246"/>
      <c r="I24" s="246"/>
      <c r="J24" s="247"/>
    </row>
    <row r="25" spans="2:10" s="29" customFormat="1" x14ac:dyDescent="0.25">
      <c r="B25" s="245" t="s">
        <v>95</v>
      </c>
      <c r="C25" s="246"/>
      <c r="D25" s="246"/>
      <c r="E25" s="246"/>
      <c r="F25" s="246"/>
      <c r="G25" s="246"/>
      <c r="H25" s="246"/>
      <c r="I25" s="246"/>
      <c r="J25" s="247"/>
    </row>
    <row r="26" spans="2:10" x14ac:dyDescent="0.25">
      <c r="B26" s="68" t="s">
        <v>96</v>
      </c>
      <c r="C26" s="32">
        <f>C5*$F26</f>
        <v>50</v>
      </c>
      <c r="D26" s="32">
        <f>MIN(150,G8*F26)</f>
        <v>150</v>
      </c>
      <c r="E26" s="32">
        <f>F26-C26-D26</f>
        <v>300</v>
      </c>
      <c r="F26" s="33">
        <v>500</v>
      </c>
    </row>
    <row r="27" spans="2:10" ht="15.6" customHeight="1" x14ac:dyDescent="0.25">
      <c r="B27" s="66" t="s">
        <v>97</v>
      </c>
      <c r="C27" s="19">
        <f>C6*$H$6+C7*$H$6</f>
        <v>1.7000000000000001E-2</v>
      </c>
      <c r="D27" s="20">
        <f>(D8+D9)*$H$8</f>
        <v>0.10704000000000001</v>
      </c>
      <c r="E27" s="39">
        <f>(E8+E9)*$H$8+(E10+E11)*$H$10+(E6+E7)*$H$6</f>
        <v>6.2166666666666683E-2</v>
      </c>
      <c r="F27" s="4">
        <f>(1+F28)^0.2-1</f>
        <v>7.2465027787965708E-2</v>
      </c>
    </row>
    <row r="28" spans="2:10" x14ac:dyDescent="0.25">
      <c r="B28" s="66" t="s">
        <v>98</v>
      </c>
      <c r="C28" s="40">
        <f>(1+C27)^5-1</f>
        <v>8.7939549024856456E-2</v>
      </c>
      <c r="D28" s="41">
        <f>(1+D27)^5-1</f>
        <v>0.66271022027856463</v>
      </c>
      <c r="E28" s="42">
        <f>(1+E27)^5-1</f>
        <v>0.35195843731931142</v>
      </c>
      <c r="F28" s="43">
        <f>F29/(C26+D26+E26)-1</f>
        <v>0.41878208337764189</v>
      </c>
    </row>
    <row r="29" spans="2:10" x14ac:dyDescent="0.25">
      <c r="B29" s="66" t="s">
        <v>99</v>
      </c>
      <c r="C29" s="44">
        <f>(1+C28)*C26</f>
        <v>54.396977451242826</v>
      </c>
      <c r="D29" s="16">
        <f>(1+D28)*D26</f>
        <v>249.40653304178468</v>
      </c>
      <c r="E29" s="45">
        <f>(1+E28)*E26</f>
        <v>405.58753119579342</v>
      </c>
      <c r="F29" s="5">
        <f>+E29+D29+C29</f>
        <v>709.39104168882091</v>
      </c>
    </row>
    <row r="30" spans="2:10" ht="13.2" customHeight="1" x14ac:dyDescent="0.25">
      <c r="B30" s="66" t="s">
        <v>100</v>
      </c>
      <c r="C30" s="44" t="s">
        <v>101</v>
      </c>
      <c r="D30" s="16" t="s">
        <v>102</v>
      </c>
      <c r="E30" s="45" t="s">
        <v>103</v>
      </c>
      <c r="F30" s="4"/>
      <c r="G30" s="6"/>
    </row>
    <row r="31" spans="2:10" x14ac:dyDescent="0.25">
      <c r="B31" s="66" t="s">
        <v>104</v>
      </c>
      <c r="C31" s="46">
        <f>(C29-C26)*31.4%</f>
        <v>1.3806509196902474</v>
      </c>
      <c r="D31" s="47">
        <f>(D29-D26)*18.6%</f>
        <v>18.489615145771953</v>
      </c>
      <c r="E31" s="48">
        <f>((E29-E26)-4.6)*24.7%</f>
        <v>24.943920205360975</v>
      </c>
      <c r="F31" s="5">
        <f>SUM(C31:E31)</f>
        <v>44.814186270823171</v>
      </c>
      <c r="G31" s="7"/>
    </row>
    <row r="32" spans="2:10" x14ac:dyDescent="0.25">
      <c r="B32" s="66" t="s">
        <v>105</v>
      </c>
      <c r="C32" s="44">
        <f>C29-C31</f>
        <v>53.016326531552579</v>
      </c>
      <c r="D32" s="16">
        <f>D29-D31</f>
        <v>230.91691789601273</v>
      </c>
      <c r="E32" s="45">
        <f>E29-E31</f>
        <v>380.64361099043242</v>
      </c>
      <c r="F32" s="5">
        <f>SUM(C32:E32)</f>
        <v>664.57685541799776</v>
      </c>
      <c r="G32" s="7"/>
    </row>
    <row r="33" spans="2:10" s="10" customFormat="1" x14ac:dyDescent="0.25">
      <c r="B33" s="3" t="s">
        <v>106</v>
      </c>
      <c r="C33" s="17">
        <f>((C32/C26))^0.2-1</f>
        <v>1.1784275550933199E-2</v>
      </c>
      <c r="D33" s="18">
        <f>((D32/D26))^0.2-1</f>
        <v>9.0116463508404854E-2</v>
      </c>
      <c r="E33" s="49">
        <f>((E32/E26))^0.2-1</f>
        <v>4.876807315665932E-2</v>
      </c>
      <c r="F33" s="8">
        <f>((F32/(C26+D26+E26)))^0.2-1</f>
        <v>5.8558933437088401E-2</v>
      </c>
      <c r="G33" s="9"/>
      <c r="H33" s="106"/>
      <c r="I33" s="106"/>
      <c r="J33" s="106"/>
    </row>
    <row r="34" spans="2:10" ht="26.4" customHeight="1" x14ac:dyDescent="0.25">
      <c r="B34" s="69" t="s">
        <v>107</v>
      </c>
      <c r="C34" s="19">
        <v>0</v>
      </c>
      <c r="D34" s="20">
        <f>(D9+D11)*0.33%</f>
        <v>2.1450000000000002E-3</v>
      </c>
      <c r="E34" s="39">
        <f>(E9+E11)*0.33%</f>
        <v>1.9662500000000001E-3</v>
      </c>
      <c r="F34" s="11">
        <f>SUMPRODUCT(C32:E32,C34:E34)/F32</f>
        <v>1.8715025641610724E-3</v>
      </c>
      <c r="G34" s="12"/>
    </row>
    <row r="35" spans="2:10" ht="39.6" customHeight="1" x14ac:dyDescent="0.25">
      <c r="B35" s="69" t="s">
        <v>108</v>
      </c>
      <c r="C35" s="70">
        <v>0</v>
      </c>
      <c r="D35" s="71">
        <f>(D6+D7+D8+D10)*1.37%</f>
        <v>4.7949999999999998E-3</v>
      </c>
      <c r="E35" s="72">
        <f>(E6+E7+E8+E10)*1.37%</f>
        <v>5.537083333333334E-3</v>
      </c>
      <c r="F35" s="50">
        <f>SUMPRODUCT(C32:E32,C35:E35)/F32</f>
        <v>4.8375172705107973E-3</v>
      </c>
      <c r="G35" s="13"/>
    </row>
    <row r="36" spans="2:10" s="14" customFormat="1" ht="26.4" customHeight="1" x14ac:dyDescent="0.25">
      <c r="B36" s="66" t="s">
        <v>109</v>
      </c>
      <c r="C36" s="73">
        <f>$F36</f>
        <v>2.5000000000000001E-2</v>
      </c>
      <c r="D36" s="74">
        <f>$F36</f>
        <v>2.5000000000000001E-2</v>
      </c>
      <c r="E36" s="75">
        <f>$F36</f>
        <v>2.5000000000000001E-2</v>
      </c>
      <c r="F36" s="76">
        <v>2.5000000000000001E-2</v>
      </c>
      <c r="G36" s="12"/>
      <c r="H36" s="107"/>
      <c r="I36" s="107"/>
      <c r="J36" s="107"/>
    </row>
    <row r="37" spans="2:10" ht="13.2" customHeight="1" x14ac:dyDescent="0.25">
      <c r="B37" s="15" t="s">
        <v>110</v>
      </c>
      <c r="C37" s="51">
        <f>((1+C33-(C34+C35))/(1+C36))-1</f>
        <v>-1.2893389706406522E-2</v>
      </c>
      <c r="D37" s="51">
        <f>((1+D33-(D34+D35))/(1+D36))-1</f>
        <v>5.6757525374053763E-2</v>
      </c>
      <c r="E37" s="51">
        <f>((1+E33-(E34+E35))/(1+E36))-1</f>
        <v>1.5868038852025368E-2</v>
      </c>
      <c r="F37" s="52">
        <f>((1+F33-(F34+F35))/(1+F36))-1</f>
        <v>2.6195037660894371E-2</v>
      </c>
      <c r="G37" s="77"/>
    </row>
    <row r="38" spans="2:10" ht="13.8" customHeight="1" x14ac:dyDescent="0.3">
      <c r="B38" s="66" t="s">
        <v>111</v>
      </c>
      <c r="C38" s="249" t="s">
        <v>112</v>
      </c>
      <c r="D38" s="247"/>
      <c r="E38" s="78" t="s">
        <v>113</v>
      </c>
      <c r="F38" s="53"/>
      <c r="J38" s="64"/>
    </row>
    <row r="39" spans="2:10" x14ac:dyDescent="0.25">
      <c r="B39" s="1"/>
    </row>
    <row r="40" spans="2:10" x14ac:dyDescent="0.25">
      <c r="B40" s="1" t="s">
        <v>114</v>
      </c>
      <c r="C40" s="79"/>
      <c r="D40" s="79"/>
      <c r="E40" s="79"/>
      <c r="J40" s="64"/>
    </row>
    <row r="41" spans="2:10" ht="14.4" customHeight="1" x14ac:dyDescent="0.3">
      <c r="B41" s="80"/>
    </row>
    <row r="42" spans="2:10" ht="14.4" customHeight="1" x14ac:dyDescent="0.25">
      <c r="B42" s="251" t="s">
        <v>115</v>
      </c>
      <c r="C42" s="238"/>
      <c r="D42" s="238"/>
      <c r="E42" s="238"/>
      <c r="F42" s="232"/>
      <c r="G42" s="232"/>
      <c r="H42" s="239"/>
      <c r="I42" s="239"/>
      <c r="J42" s="239"/>
    </row>
    <row r="43" spans="2:10" ht="13.8" customHeight="1" x14ac:dyDescent="0.3">
      <c r="B43" s="55" t="s">
        <v>116</v>
      </c>
      <c r="C43" s="29" t="s">
        <v>117</v>
      </c>
      <c r="D43" s="55" t="s">
        <v>118</v>
      </c>
      <c r="F43" s="81" t="s">
        <v>119</v>
      </c>
      <c r="G43" s="81"/>
      <c r="H43" s="59">
        <v>0.11</v>
      </c>
    </row>
    <row r="44" spans="2:10" ht="14.4" customHeight="1" x14ac:dyDescent="0.3">
      <c r="B44" s="54" t="s">
        <v>120</v>
      </c>
      <c r="C44" s="82">
        <f>F27</f>
        <v>7.2465027787965708E-2</v>
      </c>
      <c r="D44" s="83" t="s">
        <v>121</v>
      </c>
      <c r="E44" s="56"/>
      <c r="F44" s="29"/>
      <c r="G44" s="56"/>
      <c r="H44" s="57"/>
      <c r="I44" s="107"/>
    </row>
    <row r="45" spans="2:10" ht="14.4" customHeight="1" x14ac:dyDescent="0.3">
      <c r="B45" s="54" t="s">
        <v>122</v>
      </c>
      <c r="C45" s="82">
        <f>F33</f>
        <v>5.8558933437088401E-2</v>
      </c>
      <c r="D45" s="84" t="s">
        <v>123</v>
      </c>
      <c r="E45" s="67"/>
      <c r="F45" s="67"/>
      <c r="G45" s="67"/>
      <c r="H45" s="82"/>
      <c r="I45" s="108"/>
    </row>
    <row r="46" spans="2:10" ht="14.4" customHeight="1" x14ac:dyDescent="0.3">
      <c r="B46" s="54" t="s">
        <v>124</v>
      </c>
      <c r="C46" s="82">
        <f>SQRT(G8^2*$I$8^2 + G10^2*$I$10^2 + (G6+G7)^2*$I$6^2 + 2*G8*G10*$I$8*$I$10*$H$43)</f>
        <v>6.8187405525177464E-2</v>
      </c>
      <c r="D46" s="84" t="str">
        <f>CONCATENATE("~68% de chances que le nominal reel tombe entre ",TEXT(C44-C46,"0.0%")," et ",TEXT(C44+C46,"0.0%")," (hors crises/fat tails)")</f>
        <v>~68% de chances que le nominal reel tombe entre 0.4% et 14.1% (hors crises/fat tails)</v>
      </c>
      <c r="E46" s="82"/>
      <c r="F46" s="82"/>
      <c r="G46" s="67"/>
      <c r="H46" s="82"/>
      <c r="I46" s="108"/>
    </row>
    <row r="47" spans="2:10" ht="14.4" customHeight="1" x14ac:dyDescent="0.3">
      <c r="B47" s="54" t="s">
        <v>75</v>
      </c>
      <c r="C47" s="85">
        <f>(C44-$H$6)/C46</f>
        <v>0.81342041628913198</v>
      </c>
      <c r="D47" s="84" t="s">
        <v>125</v>
      </c>
      <c r="E47" s="82"/>
      <c r="F47" s="82"/>
      <c r="G47" s="67"/>
      <c r="H47" s="82"/>
      <c r="I47" s="108"/>
    </row>
    <row r="48" spans="2:10" ht="13.8" customHeight="1" x14ac:dyDescent="0.35">
      <c r="B48" s="86"/>
      <c r="C48" s="85"/>
      <c r="D48" s="87"/>
      <c r="E48" s="87"/>
      <c r="F48" s="87"/>
      <c r="G48" s="81"/>
      <c r="H48" s="59"/>
      <c r="I48" s="109"/>
    </row>
    <row r="49" spans="2:10" x14ac:dyDescent="0.25">
      <c r="B49" s="240" t="s">
        <v>126</v>
      </c>
      <c r="C49" s="238"/>
      <c r="D49" s="238"/>
    </row>
    <row r="50" spans="2:10" ht="13.8" customHeight="1" x14ac:dyDescent="0.3">
      <c r="B50" s="54" t="s">
        <v>127</v>
      </c>
      <c r="C50" s="82">
        <f>((1+(((((1+(C44-C46))^5*F26)-(((1+(C44-C46))^5*F26)-F26)*(F31/(F29-F26)))/F26))^0.2-1-(F34+F35))/(1+F36))-1</f>
        <v>-2.7649541764870667E-2</v>
      </c>
    </row>
    <row r="51" spans="2:10" ht="14.4" customHeight="1" x14ac:dyDescent="0.3">
      <c r="B51" s="54" t="s">
        <v>128</v>
      </c>
      <c r="C51" s="82">
        <f>F37</f>
        <v>2.6195037660894371E-2</v>
      </c>
    </row>
    <row r="52" spans="2:10" ht="14.4" customHeight="1" x14ac:dyDescent="0.3">
      <c r="B52" s="54" t="s">
        <v>129</v>
      </c>
      <c r="C52" s="82">
        <f>((1+(((((1+(C44+C46))^5*F26)-(((1+(C44+C46))^5*F26)-F26)*(F31/(F29-F26)))/F26))^0.2-1-(F34+F35))/(1+F36))-1</f>
        <v>8.2310078402255238E-2</v>
      </c>
      <c r="D52" s="58"/>
      <c r="E52" s="58"/>
      <c r="F52" s="58"/>
    </row>
    <row r="53" spans="2:10" ht="14.4" customHeight="1" x14ac:dyDescent="0.25">
      <c r="B53" s="88"/>
      <c r="C53" s="82"/>
      <c r="D53" s="82"/>
      <c r="E53" s="82"/>
      <c r="F53" s="82"/>
    </row>
    <row r="54" spans="2:10" ht="14.4" customHeight="1" x14ac:dyDescent="0.25">
      <c r="B54" s="103" t="s">
        <v>130</v>
      </c>
      <c r="C54" s="1"/>
      <c r="D54" s="1"/>
      <c r="E54" s="1"/>
      <c r="F54" s="1"/>
      <c r="G54" s="1"/>
      <c r="H54" s="110"/>
      <c r="I54" s="110"/>
      <c r="J54" s="110"/>
    </row>
    <row r="55" spans="2:10" ht="14.4" customHeight="1" x14ac:dyDescent="0.25">
      <c r="B55" s="1" t="s">
        <v>131</v>
      </c>
      <c r="C55" s="1"/>
      <c r="D55" s="1"/>
      <c r="E55" s="1"/>
      <c r="F55" s="1"/>
      <c r="G55" s="1"/>
      <c r="H55" s="110"/>
      <c r="I55" s="110"/>
      <c r="J55" s="110"/>
    </row>
    <row r="56" spans="2:10" ht="14.4" customHeight="1" x14ac:dyDescent="0.25">
      <c r="B56" s="103" t="s">
        <v>132</v>
      </c>
      <c r="C56" s="1"/>
      <c r="D56" s="1"/>
      <c r="E56" s="1"/>
      <c r="F56" s="1"/>
      <c r="G56" s="1"/>
      <c r="H56" s="110"/>
      <c r="I56" s="110"/>
      <c r="J56" s="110"/>
    </row>
    <row r="57" spans="2:10" x14ac:dyDescent="0.25">
      <c r="B57" s="1" t="s">
        <v>133</v>
      </c>
      <c r="C57" s="1"/>
      <c r="D57" s="1"/>
      <c r="E57" s="1"/>
      <c r="F57" s="1"/>
      <c r="G57" s="1"/>
      <c r="H57" s="110"/>
      <c r="I57" s="110"/>
      <c r="J57" s="110"/>
    </row>
    <row r="58" spans="2:10" ht="13.8" customHeight="1" x14ac:dyDescent="0.35">
      <c r="B58" s="89"/>
    </row>
    <row r="59" spans="2:10" ht="14.4" customHeight="1" x14ac:dyDescent="0.25">
      <c r="B59" s="240" t="s">
        <v>134</v>
      </c>
      <c r="C59" s="238"/>
      <c r="D59" s="238"/>
      <c r="E59" s="238"/>
      <c r="F59" s="232"/>
      <c r="G59" s="232"/>
      <c r="H59" s="239"/>
      <c r="I59" s="239"/>
      <c r="J59" s="239"/>
    </row>
    <row r="60" spans="2:10" ht="14.4" customHeight="1" x14ac:dyDescent="0.3">
      <c r="B60" s="54" t="s">
        <v>135</v>
      </c>
      <c r="C60" s="82">
        <f>(($H$8-$H$6)*$I$10^2-($H$10-$H$6)*$H$43*$I$8*$I$10)/(($H$8-$H$6)*$I$10^2+($H$10-$H$6)*$I$8^2-(($H$8-$H$6)+($H$10-$H$6))*$H$43*$I$8*$I$10)</f>
        <v>0.63172500113067043</v>
      </c>
      <c r="D60" s="82" t="s">
        <v>136</v>
      </c>
      <c r="E60" s="82">
        <f>1-C60</f>
        <v>0.36827499886932957</v>
      </c>
      <c r="F60" s="82"/>
    </row>
    <row r="61" spans="2:10" ht="14.4" customHeight="1" x14ac:dyDescent="0.3">
      <c r="B61" s="54" t="s">
        <v>137</v>
      </c>
      <c r="C61" s="82">
        <f>(C60*$H$8+E60*$H$10)-$H$6</f>
        <v>6.2515126584506309E-2</v>
      </c>
      <c r="D61" s="82"/>
      <c r="E61" s="82"/>
      <c r="F61" s="82"/>
    </row>
    <row r="62" spans="2:10" ht="14.4" customHeight="1" x14ac:dyDescent="0.3">
      <c r="B62" s="54" t="s">
        <v>138</v>
      </c>
      <c r="C62" s="82">
        <f>SQRT((C60^2*$I$8^2+E60^2*$I$10^2+2*C60*E60*$H$43*$I$8*$I$10))</f>
        <v>7.87623421648561E-2</v>
      </c>
      <c r="D62" s="82"/>
      <c r="E62" s="82"/>
      <c r="F62" s="82"/>
    </row>
    <row r="63" spans="2:10" ht="14.4" customHeight="1" x14ac:dyDescent="0.3">
      <c r="B63" s="54" t="s">
        <v>139</v>
      </c>
      <c r="C63" s="60">
        <f>C61/C62</f>
        <v>0.79371848101795872</v>
      </c>
      <c r="D63" s="82"/>
      <c r="E63" s="82"/>
      <c r="F63" s="82"/>
    </row>
    <row r="64" spans="2:10" ht="26.4" customHeight="1" x14ac:dyDescent="0.25">
      <c r="B64" s="90" t="s">
        <v>140</v>
      </c>
      <c r="C64" s="85">
        <f>((($G$8*$H$8+$G$10*$H$10+($G$6+$G$7)*$H$6))-$H$6)/SQRT(($G$8^2*$I$8^2+$G$10^2*$I$10^2+($G$6+$G$7)^2*$I$6^2+2*$G$8*$G$10*$H$43*$I$8*$I$10))</f>
        <v>0.79357763480265775</v>
      </c>
      <c r="D64" s="91" t="s">
        <v>141</v>
      </c>
      <c r="E64" s="82">
        <f>G8/(G8+G10)</f>
        <v>0.6470588235294118</v>
      </c>
      <c r="F64" s="82"/>
    </row>
    <row r="65" spans="2:10" ht="18" customHeight="1" x14ac:dyDescent="0.25">
      <c r="B65" s="103" t="s">
        <v>142</v>
      </c>
      <c r="C65" s="85"/>
      <c r="D65" s="91"/>
      <c r="E65" s="82"/>
      <c r="F65" s="82"/>
    </row>
    <row r="66" spans="2:10" ht="18" customHeight="1" x14ac:dyDescent="0.25">
      <c r="B66" s="1" t="s">
        <v>143</v>
      </c>
      <c r="C66" s="85"/>
      <c r="D66" s="91"/>
      <c r="E66" s="82"/>
      <c r="F66" s="82"/>
    </row>
    <row r="67" spans="2:10" ht="14.4" customHeight="1" x14ac:dyDescent="0.25">
      <c r="B67" s="103" t="s">
        <v>144</v>
      </c>
      <c r="C67" s="1"/>
      <c r="D67" s="1"/>
      <c r="E67" s="1"/>
      <c r="F67" s="1"/>
      <c r="G67" s="1"/>
      <c r="H67" s="110"/>
      <c r="I67" s="110"/>
      <c r="J67" s="110"/>
    </row>
    <row r="68" spans="2:10" ht="14.4" customHeight="1" x14ac:dyDescent="0.3">
      <c r="B68" s="81"/>
    </row>
    <row r="69" spans="2:10" ht="14.4" customHeight="1" x14ac:dyDescent="0.25">
      <c r="B69" s="240" t="s">
        <v>145</v>
      </c>
      <c r="C69" s="238"/>
      <c r="D69" s="238"/>
      <c r="E69" s="238"/>
      <c r="F69" s="232"/>
      <c r="G69" s="232"/>
      <c r="H69" s="239"/>
      <c r="I69" s="239"/>
      <c r="J69" s="239"/>
    </row>
    <row r="70" spans="2:10" ht="14.4" customHeight="1" x14ac:dyDescent="0.3">
      <c r="B70" s="81"/>
      <c r="C70" s="92" t="s">
        <v>146</v>
      </c>
      <c r="D70" s="92" t="s">
        <v>147</v>
      </c>
      <c r="E70" s="92" t="s">
        <v>148</v>
      </c>
      <c r="F70" s="61" t="s">
        <v>147</v>
      </c>
      <c r="G70" s="81"/>
      <c r="H70" s="56"/>
    </row>
    <row r="71" spans="2:10" ht="14.4" customHeight="1" x14ac:dyDescent="0.3">
      <c r="B71" s="54" t="s">
        <v>149</v>
      </c>
      <c r="C71" s="93">
        <f>F37</f>
        <v>2.6195037660894371E-2</v>
      </c>
      <c r="D71" s="93">
        <v>0</v>
      </c>
      <c r="E71" s="93">
        <f>$C$46</f>
        <v>6.8187405525177464E-2</v>
      </c>
      <c r="F71" s="82">
        <v>0</v>
      </c>
    </row>
    <row r="72" spans="2:10" ht="14.4" customHeight="1" x14ac:dyDescent="0.3">
      <c r="B72" s="54" t="s">
        <v>150</v>
      </c>
      <c r="C72" s="93">
        <v>2.93E-2</v>
      </c>
      <c r="D72" s="93">
        <f>C72-$C$71</f>
        <v>3.1049623391056283E-3</v>
      </c>
      <c r="E72" s="93">
        <f>$C$46</f>
        <v>6.8187405525177464E-2</v>
      </c>
      <c r="F72" s="82">
        <v>0</v>
      </c>
    </row>
    <row r="73" spans="2:10" ht="14.4" customHeight="1" x14ac:dyDescent="0.3">
      <c r="B73" s="54" t="s">
        <v>151</v>
      </c>
      <c r="C73" s="94">
        <v>2.5499999999999998E-2</v>
      </c>
      <c r="D73" s="94">
        <f>C73-$C$71</f>
        <v>-6.9503766089437299E-4</v>
      </c>
      <c r="E73" s="94">
        <v>6.7000000000000004E-2</v>
      </c>
      <c r="F73" s="56">
        <f>E73-$E$71</f>
        <v>-1.1874055251774596E-3</v>
      </c>
      <c r="G73" s="29"/>
      <c r="H73" s="29"/>
      <c r="I73" s="29"/>
    </row>
    <row r="74" spans="2:10" ht="13.8" customHeight="1" x14ac:dyDescent="0.3">
      <c r="B74" s="54" t="s">
        <v>152</v>
      </c>
      <c r="C74" s="95">
        <v>1.6400000000000001E-2</v>
      </c>
      <c r="D74" s="93">
        <f>C74-$C$71</f>
        <v>-9.79503766089437E-3</v>
      </c>
      <c r="E74" s="93">
        <f>$C$46</f>
        <v>6.8187405525177464E-2</v>
      </c>
      <c r="F74" s="82">
        <v>0</v>
      </c>
      <c r="G74" s="82"/>
      <c r="H74" s="82"/>
      <c r="I74" s="85"/>
    </row>
    <row r="75" spans="2:10" ht="14.4" customHeight="1" x14ac:dyDescent="0.3">
      <c r="B75" s="80"/>
      <c r="C75" s="62"/>
      <c r="D75" s="82"/>
      <c r="E75" s="82"/>
      <c r="F75" s="82"/>
      <c r="G75" s="82"/>
      <c r="H75" s="82"/>
      <c r="I75" s="85"/>
    </row>
    <row r="76" spans="2:10" ht="14.4" customHeight="1" x14ac:dyDescent="0.25">
      <c r="B76" s="103" t="s">
        <v>153</v>
      </c>
      <c r="C76" s="1"/>
      <c r="D76" s="1"/>
      <c r="E76" s="1"/>
      <c r="F76" s="1"/>
      <c r="G76" s="1"/>
      <c r="H76" s="110"/>
      <c r="I76" s="110"/>
      <c r="J76" s="110"/>
    </row>
    <row r="77" spans="2:10" ht="13.8" customHeight="1" x14ac:dyDescent="0.25">
      <c r="B77" s="103" t="s">
        <v>154</v>
      </c>
      <c r="C77" s="1"/>
      <c r="D77" s="1"/>
      <c r="E77" s="1"/>
      <c r="F77" s="1"/>
      <c r="G77" s="1"/>
      <c r="H77" s="110"/>
      <c r="I77" s="110"/>
      <c r="J77" s="110"/>
    </row>
    <row r="78" spans="2:10" ht="48" customHeight="1" x14ac:dyDescent="0.25">
      <c r="B78" s="103" t="s">
        <v>155</v>
      </c>
      <c r="C78" s="1"/>
      <c r="D78" s="1"/>
      <c r="E78" s="1"/>
      <c r="F78" s="1"/>
      <c r="G78" s="1"/>
      <c r="H78" s="110"/>
      <c r="I78" s="110"/>
      <c r="J78" s="110"/>
    </row>
    <row r="79" spans="2:10" ht="14.4" customHeight="1" x14ac:dyDescent="0.3">
      <c r="B79" s="103" t="s">
        <v>156</v>
      </c>
      <c r="C79" s="62"/>
      <c r="D79" s="82"/>
      <c r="E79" s="82"/>
      <c r="F79" s="82"/>
      <c r="G79" s="82"/>
      <c r="H79" s="82"/>
      <c r="I79" s="85"/>
    </row>
    <row r="80" spans="2:10" ht="13.8" customHeight="1" x14ac:dyDescent="0.25">
      <c r="B80" s="86"/>
    </row>
    <row r="81" spans="2:10" ht="15" customHeight="1" x14ac:dyDescent="0.35">
      <c r="B81" s="96" t="s">
        <v>157</v>
      </c>
    </row>
    <row r="82" spans="2:10" ht="15" customHeight="1" x14ac:dyDescent="0.35">
      <c r="B82" s="96" t="s">
        <v>158</v>
      </c>
    </row>
    <row r="83" spans="2:10" ht="15" customHeight="1" x14ac:dyDescent="0.35">
      <c r="B83" s="89" t="s">
        <v>159</v>
      </c>
    </row>
    <row r="84" spans="2:10" ht="15" customHeight="1" x14ac:dyDescent="0.35">
      <c r="B84" s="89" t="s">
        <v>160</v>
      </c>
    </row>
    <row r="85" spans="2:10" ht="13.8" customHeight="1" x14ac:dyDescent="0.25">
      <c r="B85" s="237"/>
      <c r="C85" s="238"/>
      <c r="D85" s="238"/>
      <c r="E85" s="238"/>
      <c r="F85" s="232"/>
      <c r="G85" s="232"/>
      <c r="H85" s="239"/>
      <c r="I85" s="239"/>
      <c r="J85" s="239"/>
    </row>
    <row r="86" spans="2:10" ht="14.4" customHeight="1" x14ac:dyDescent="0.3">
      <c r="B86" s="80"/>
    </row>
    <row r="87" spans="2:10" ht="14.4" customHeight="1" x14ac:dyDescent="0.3">
      <c r="B87" s="80"/>
    </row>
    <row r="88" spans="2:10" ht="13.8" customHeight="1" x14ac:dyDescent="0.25">
      <c r="B88" s="237"/>
      <c r="C88" s="238"/>
      <c r="D88" s="238"/>
      <c r="E88" s="238"/>
      <c r="F88" s="232"/>
      <c r="G88" s="232"/>
      <c r="H88" s="239"/>
      <c r="I88" s="239"/>
      <c r="J88" s="239"/>
    </row>
    <row r="89" spans="2:10" ht="14.4" customHeight="1" x14ac:dyDescent="0.3">
      <c r="B89" s="80"/>
    </row>
    <row r="90" spans="2:10" ht="14.4" customHeight="1" x14ac:dyDescent="0.3">
      <c r="B90" s="80"/>
    </row>
    <row r="91" spans="2:10" ht="13.8" customHeight="1" x14ac:dyDescent="0.25">
      <c r="B91" s="237"/>
      <c r="C91" s="238"/>
      <c r="D91" s="238"/>
      <c r="E91" s="238"/>
      <c r="F91" s="232"/>
      <c r="G91" s="232"/>
      <c r="H91" s="239"/>
      <c r="I91" s="239"/>
      <c r="J91" s="239"/>
    </row>
    <row r="92" spans="2:10" ht="13.8" customHeight="1" x14ac:dyDescent="0.25">
      <c r="B92" s="237"/>
      <c r="C92" s="238"/>
      <c r="D92" s="238"/>
      <c r="E92" s="238"/>
      <c r="F92" s="232"/>
      <c r="G92" s="232"/>
      <c r="H92" s="239"/>
      <c r="I92" s="239"/>
      <c r="J92" s="239"/>
    </row>
    <row r="95" spans="2:10" ht="13.8" customHeight="1" x14ac:dyDescent="0.3">
      <c r="B95" s="248"/>
      <c r="C95" s="238"/>
      <c r="D95" s="238"/>
      <c r="E95" s="238"/>
      <c r="F95" s="232"/>
      <c r="G95" s="232"/>
      <c r="H95" s="239"/>
      <c r="I95" s="239"/>
      <c r="J95" s="239"/>
    </row>
    <row r="96" spans="2:10" ht="13.8" customHeight="1" x14ac:dyDescent="0.3">
      <c r="B96" s="97"/>
    </row>
    <row r="97" spans="2:8" ht="13.8" customHeight="1" x14ac:dyDescent="0.25"/>
    <row r="99" spans="2:8" ht="13.8" customHeight="1" x14ac:dyDescent="0.3">
      <c r="B99" s="55"/>
      <c r="D99" s="63"/>
      <c r="H99" s="56"/>
    </row>
    <row r="100" spans="2:8" x14ac:dyDescent="0.25">
      <c r="C100" s="98"/>
    </row>
    <row r="102" spans="2:8" x14ac:dyDescent="0.25">
      <c r="B102" s="55"/>
      <c r="D102" s="61"/>
    </row>
    <row r="103" spans="2:8" ht="13.8" customHeight="1" x14ac:dyDescent="0.3">
      <c r="B103" s="97"/>
    </row>
    <row r="104" spans="2:8" x14ac:dyDescent="0.25">
      <c r="D104" s="87"/>
    </row>
    <row r="105" spans="2:8" x14ac:dyDescent="0.25">
      <c r="D105" s="87"/>
    </row>
    <row r="106" spans="2:8" x14ac:dyDescent="0.25">
      <c r="D106" s="87"/>
    </row>
    <row r="107" spans="2:8" x14ac:dyDescent="0.25">
      <c r="D107" s="87"/>
    </row>
    <row r="108" spans="2:8" x14ac:dyDescent="0.25">
      <c r="D108" s="61"/>
    </row>
    <row r="110" spans="2:8" ht="14.4" customHeight="1" x14ac:dyDescent="0.3">
      <c r="B110" s="80"/>
    </row>
    <row r="111" spans="2:8" x14ac:dyDescent="0.25">
      <c r="C111" s="55"/>
      <c r="D111" s="55"/>
      <c r="E111" s="55"/>
      <c r="F111" s="55"/>
    </row>
    <row r="113" spans="3:6" x14ac:dyDescent="0.25">
      <c r="C113" s="98"/>
      <c r="D113" s="98"/>
      <c r="E113" s="98"/>
      <c r="F113" s="98"/>
    </row>
    <row r="114" spans="3:6" x14ac:dyDescent="0.25">
      <c r="C114" s="87"/>
      <c r="D114" s="87"/>
      <c r="E114" s="87"/>
      <c r="F114" s="87"/>
    </row>
    <row r="115" spans="3:6" x14ac:dyDescent="0.25">
      <c r="C115" s="87"/>
      <c r="D115" s="87"/>
      <c r="E115" s="87"/>
      <c r="F115" s="87"/>
    </row>
    <row r="116" spans="3:6" x14ac:dyDescent="0.25">
      <c r="C116" s="98"/>
      <c r="D116" s="98"/>
      <c r="E116" s="98"/>
      <c r="F116" s="98"/>
    </row>
    <row r="118" spans="3:6" x14ac:dyDescent="0.25">
      <c r="C118" s="98"/>
      <c r="D118" s="98"/>
      <c r="E118" s="98"/>
      <c r="F118" s="98"/>
    </row>
    <row r="119" spans="3:6" x14ac:dyDescent="0.25">
      <c r="C119" s="87"/>
      <c r="D119" s="87"/>
      <c r="E119" s="87"/>
      <c r="F119" s="87"/>
    </row>
    <row r="120" spans="3:6" x14ac:dyDescent="0.25">
      <c r="C120" s="87"/>
      <c r="D120" s="87"/>
      <c r="E120" s="87"/>
      <c r="F120" s="87"/>
    </row>
    <row r="121" spans="3:6" x14ac:dyDescent="0.25">
      <c r="C121" s="87"/>
      <c r="D121" s="87"/>
      <c r="E121" s="87"/>
      <c r="F121" s="87"/>
    </row>
  </sheetData>
  <mergeCells count="21">
    <mergeCell ref="B2:J2"/>
    <mergeCell ref="B92:J92"/>
    <mergeCell ref="B24:J24"/>
    <mergeCell ref="B95:J95"/>
    <mergeCell ref="I8:I9"/>
    <mergeCell ref="B85:J85"/>
    <mergeCell ref="B91:J91"/>
    <mergeCell ref="I10:I11"/>
    <mergeCell ref="B25:J25"/>
    <mergeCell ref="B59:J59"/>
    <mergeCell ref="C38:D38"/>
    <mergeCell ref="H8:H9"/>
    <mergeCell ref="H10:H11"/>
    <mergeCell ref="B42:J42"/>
    <mergeCell ref="G8:G9"/>
    <mergeCell ref="H6:H7"/>
    <mergeCell ref="B88:J88"/>
    <mergeCell ref="B69:J69"/>
    <mergeCell ref="G10:G11"/>
    <mergeCell ref="B49:D49"/>
    <mergeCell ref="I6:I7"/>
  </mergeCells>
  <pageMargins left="0.7" right="0.7" top="0.75" bottom="0.75" header="0.3" footer="0.3"/>
  <pageSetup scale="73" orientation="landscape" horizontalDpi="4294967293" verticalDpi="429496729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J105"/>
  <sheetViews>
    <sheetView zoomScale="80" zoomScaleNormal="80" workbookViewId="0">
      <pane xSplit="2" ySplit="5" topLeftCell="C15" activePane="bottomRight" state="frozen"/>
      <selection pane="topRight" activeCell="C1" sqref="C1"/>
      <selection pane="bottomLeft" activeCell="A10" sqref="A10"/>
      <selection pane="bottomRight" activeCell="B37" sqref="B37"/>
    </sheetView>
  </sheetViews>
  <sheetFormatPr defaultRowHeight="13.2" x14ac:dyDescent="0.25"/>
  <cols>
    <col min="1" max="1" width="4.5546875" customWidth="1"/>
    <col min="2" max="2" width="48" style="148" customWidth="1"/>
    <col min="3" max="3" width="22.44140625" style="64" bestFit="1" customWidth="1"/>
    <col min="4" max="4" width="28.21875" style="64" customWidth="1"/>
    <col min="5" max="5" width="39.44140625" style="64" customWidth="1"/>
    <col min="6" max="7" width="11" customWidth="1"/>
    <col min="8" max="8" width="9" style="67" customWidth="1"/>
    <col min="9" max="9" width="12.77734375" style="67" customWidth="1"/>
    <col min="10" max="10" width="13.109375" style="67" customWidth="1"/>
    <col min="11" max="11" width="21.77734375" bestFit="1" customWidth="1"/>
    <col min="13" max="13" width="18.5546875" customWidth="1"/>
  </cols>
  <sheetData>
    <row r="2" spans="2:10" ht="13.8" customHeight="1" x14ac:dyDescent="0.25">
      <c r="B2" s="244" t="s">
        <v>66</v>
      </c>
      <c r="C2" s="238"/>
      <c r="D2" s="238"/>
      <c r="E2" s="238"/>
      <c r="F2" s="232"/>
      <c r="G2" s="232"/>
      <c r="H2" s="239"/>
      <c r="I2" s="239"/>
      <c r="J2" s="239"/>
    </row>
    <row r="3" spans="2:10" ht="16.8" customHeight="1" x14ac:dyDescent="0.35">
      <c r="C3" s="65"/>
    </row>
    <row r="4" spans="2:10" ht="39.6" customHeight="1" x14ac:dyDescent="0.25">
      <c r="B4" s="157" t="s">
        <v>67</v>
      </c>
      <c r="C4" s="34" t="s">
        <v>68</v>
      </c>
      <c r="D4" s="21" t="s">
        <v>69</v>
      </c>
      <c r="E4" s="24" t="s">
        <v>70</v>
      </c>
      <c r="F4" s="2" t="s">
        <v>71</v>
      </c>
      <c r="G4" s="2" t="s">
        <v>72</v>
      </c>
      <c r="H4" s="2" t="s">
        <v>73</v>
      </c>
      <c r="I4" s="2" t="s">
        <v>161</v>
      </c>
      <c r="J4" s="2" t="s">
        <v>162</v>
      </c>
    </row>
    <row r="5" spans="2:10" s="67" customFormat="1" x14ac:dyDescent="0.25">
      <c r="B5" s="158" t="s">
        <v>76</v>
      </c>
      <c r="C5" s="124">
        <v>0.1</v>
      </c>
      <c r="D5" s="124">
        <f>D23/F23</f>
        <v>0.3</v>
      </c>
      <c r="E5" s="124">
        <f>E23/F23</f>
        <v>0.6</v>
      </c>
      <c r="F5" s="125">
        <f>SUM(C5:E5)</f>
        <v>1</v>
      </c>
      <c r="G5" s="125">
        <f>SUM(G6:G11)</f>
        <v>1</v>
      </c>
    </row>
    <row r="6" spans="2:10" s="67" customFormat="1" ht="13.8" customHeight="1" x14ac:dyDescent="0.25">
      <c r="B6" s="159" t="s">
        <v>77</v>
      </c>
      <c r="C6" s="31">
        <v>0.3</v>
      </c>
      <c r="D6" s="31">
        <v>0</v>
      </c>
      <c r="E6" s="31">
        <f>(G6-C5*C6)/E5</f>
        <v>3.333333333333334E-2</v>
      </c>
      <c r="F6" s="31">
        <f t="shared" ref="F6:F11" si="0">C6*C$5+D6*D$5+E6*E$5</f>
        <v>0.05</v>
      </c>
      <c r="G6" s="31">
        <v>0.05</v>
      </c>
      <c r="H6" s="253">
        <v>1.7000000000000001E-2</v>
      </c>
      <c r="I6" s="252">
        <v>5.0000000000000001E-3</v>
      </c>
      <c r="J6" s="254"/>
    </row>
    <row r="7" spans="2:10" s="67" customFormat="1" ht="13.8" customHeight="1" x14ac:dyDescent="0.25">
      <c r="B7" s="159" t="s">
        <v>78</v>
      </c>
      <c r="C7" s="31">
        <f>1-C6</f>
        <v>0.7</v>
      </c>
      <c r="D7" s="31">
        <v>0</v>
      </c>
      <c r="E7" s="31">
        <f>(G7-C5*C7)/E5</f>
        <v>5.0000000000000024E-2</v>
      </c>
      <c r="F7" s="31">
        <f t="shared" si="0"/>
        <v>0.1</v>
      </c>
      <c r="G7" s="31">
        <v>0.1</v>
      </c>
      <c r="H7" s="242"/>
      <c r="I7" s="242"/>
      <c r="J7" s="242"/>
    </row>
    <row r="8" spans="2:10" s="67" customFormat="1" ht="13.8" customHeight="1" x14ac:dyDescent="0.25">
      <c r="B8" s="159" t="s">
        <v>79</v>
      </c>
      <c r="C8" s="31">
        <v>0</v>
      </c>
      <c r="D8" s="31">
        <v>0.35</v>
      </c>
      <c r="E8" s="31">
        <f>MAX(0,G8-D5)/E5*0.35</f>
        <v>0.14583333333333337</v>
      </c>
      <c r="F8" s="31">
        <f t="shared" si="0"/>
        <v>0.1925</v>
      </c>
      <c r="G8" s="241">
        <v>0.55000000000000004</v>
      </c>
      <c r="H8" s="253">
        <f>SUMPRODUCT(G17:G21,H17:H21)</f>
        <v>0.10704000000000001</v>
      </c>
      <c r="I8" s="252">
        <f>SUMPRODUCT(G17:G21,I17:I21)</f>
        <v>0.12212500000000001</v>
      </c>
      <c r="J8" s="252">
        <f>(H8-$H$6)/I8</f>
        <v>0.73727737973387919</v>
      </c>
    </row>
    <row r="9" spans="2:10" s="67" customFormat="1" ht="13.2" customHeight="1" x14ac:dyDescent="0.25">
      <c r="B9" s="159" t="s">
        <v>80</v>
      </c>
      <c r="C9" s="31">
        <v>0</v>
      </c>
      <c r="D9" s="31">
        <v>0.65</v>
      </c>
      <c r="E9" s="31">
        <f>MAX(0,G8-D5)/E5*0.65</f>
        <v>0.27083333333333343</v>
      </c>
      <c r="F9" s="31">
        <f t="shared" si="0"/>
        <v>0.35750000000000004</v>
      </c>
      <c r="G9" s="242"/>
      <c r="H9" s="242"/>
      <c r="I9" s="242"/>
      <c r="J9" s="242"/>
    </row>
    <row r="10" spans="2:10" s="67" customFormat="1" ht="13.8" customHeight="1" x14ac:dyDescent="0.25">
      <c r="B10" s="159" t="s">
        <v>81</v>
      </c>
      <c r="C10" s="31">
        <v>0</v>
      </c>
      <c r="D10" s="31">
        <v>0</v>
      </c>
      <c r="E10" s="31">
        <f>(G10/E5)*0.35</f>
        <v>0.17499999999999999</v>
      </c>
      <c r="F10" s="31">
        <f t="shared" si="0"/>
        <v>0.105</v>
      </c>
      <c r="G10" s="241">
        <v>0.3</v>
      </c>
      <c r="H10" s="253">
        <f>SUMPRODUCT($G12:$G14,H12:H14)</f>
        <v>3.2299999999999995E-2</v>
      </c>
      <c r="I10" s="253">
        <f>SUMPRODUCT($G12:$G14,I12:I14)</f>
        <v>5.4094999999999997E-2</v>
      </c>
      <c r="J10" s="253">
        <f>SUMPRODUCT($G12:$G14,J12:J14)</f>
        <v>0.2649239005736137</v>
      </c>
    </row>
    <row r="11" spans="2:10" s="67" customFormat="1" ht="13.2" customHeight="1" x14ac:dyDescent="0.25">
      <c r="B11" s="159" t="s">
        <v>82</v>
      </c>
      <c r="C11" s="31">
        <v>0</v>
      </c>
      <c r="D11" s="31">
        <v>0</v>
      </c>
      <c r="E11" s="31">
        <f>(G10/E5)*0.65</f>
        <v>0.32500000000000001</v>
      </c>
      <c r="F11" s="31">
        <f t="shared" si="0"/>
        <v>0.19500000000000001</v>
      </c>
      <c r="G11" s="242"/>
      <c r="H11" s="242"/>
      <c r="I11" s="242"/>
      <c r="J11" s="242"/>
    </row>
    <row r="12" spans="2:10" s="67" customFormat="1" ht="13.2" customHeight="1" x14ac:dyDescent="0.25">
      <c r="B12" s="159" t="s">
        <v>89</v>
      </c>
      <c r="C12" s="31"/>
      <c r="D12" s="31"/>
      <c r="E12" s="31"/>
      <c r="F12" s="31"/>
      <c r="G12" s="31">
        <v>0.7</v>
      </c>
      <c r="H12" s="136">
        <v>2.5999999999999999E-2</v>
      </c>
      <c r="I12" s="136">
        <v>0.05</v>
      </c>
      <c r="J12" s="136">
        <v>0.17999999999999991</v>
      </c>
    </row>
    <row r="13" spans="2:10" s="67" customFormat="1" ht="13.2" customHeight="1" x14ac:dyDescent="0.25">
      <c r="B13" s="159" t="s">
        <v>90</v>
      </c>
      <c r="C13" s="31"/>
      <c r="D13" s="31"/>
      <c r="E13" s="31"/>
      <c r="F13" s="31"/>
      <c r="G13" s="31">
        <v>0.15</v>
      </c>
      <c r="H13" s="136">
        <v>5.5199999999999999E-2</v>
      </c>
      <c r="I13" s="136">
        <v>7.4999999999999997E-2</v>
      </c>
      <c r="J13" s="136">
        <v>0.5093333333333333</v>
      </c>
    </row>
    <row r="14" spans="2:10" s="67" customFormat="1" ht="13.2" customHeight="1" x14ac:dyDescent="0.25">
      <c r="B14" s="159" t="s">
        <v>91</v>
      </c>
      <c r="C14" s="31"/>
      <c r="D14" s="31"/>
      <c r="E14" s="31"/>
      <c r="F14" s="31"/>
      <c r="G14" s="31">
        <v>0.15</v>
      </c>
      <c r="H14" s="136">
        <v>3.8800000000000001E-2</v>
      </c>
      <c r="I14" s="136">
        <v>5.2299999999999999E-2</v>
      </c>
      <c r="J14" s="136">
        <v>0.4168260038240918</v>
      </c>
    </row>
    <row r="15" spans="2:10" s="67" customFormat="1" ht="13.2" customHeight="1" x14ac:dyDescent="0.25">
      <c r="B15" s="159" t="s">
        <v>163</v>
      </c>
      <c r="C15" s="31"/>
      <c r="D15" s="31"/>
      <c r="E15" s="31"/>
      <c r="F15" s="31"/>
      <c r="G15" s="31"/>
      <c r="H15" s="136">
        <v>7.7499999999999999E-2</v>
      </c>
      <c r="I15" s="136">
        <v>0.17</v>
      </c>
      <c r="J15" s="136">
        <f>(H15-$H$6)/I15</f>
        <v>0.35588235294117643</v>
      </c>
    </row>
    <row r="16" spans="2:10" s="29" customFormat="1" x14ac:dyDescent="0.25">
      <c r="B16" s="160" t="s">
        <v>83</v>
      </c>
      <c r="C16" s="25">
        <f>SUM(C6:C11)</f>
        <v>1</v>
      </c>
      <c r="D16" s="25">
        <f>SUM(D6:D11)</f>
        <v>1</v>
      </c>
      <c r="E16" s="25">
        <f>SUM(E6:E11)</f>
        <v>1.0000000000000002</v>
      </c>
      <c r="F16" s="25">
        <f>SUM(F6:F11)</f>
        <v>1</v>
      </c>
      <c r="G16" s="25">
        <f>SUM(G6:G11)</f>
        <v>1</v>
      </c>
      <c r="H16" s="126"/>
      <c r="I16" s="126"/>
      <c r="J16" s="126"/>
    </row>
    <row r="17" spans="2:10" s="67" customFormat="1" ht="13.8" customHeight="1" x14ac:dyDescent="0.3">
      <c r="B17" s="161" t="s">
        <v>85</v>
      </c>
      <c r="C17" s="128">
        <v>0</v>
      </c>
      <c r="D17" s="128">
        <v>0</v>
      </c>
      <c r="E17" s="128">
        <v>0.4</v>
      </c>
      <c r="F17" s="128">
        <f>C17*C$5+D17*D$5+E17*E$5</f>
        <v>0.24</v>
      </c>
      <c r="G17" s="128">
        <v>0.25</v>
      </c>
      <c r="H17" s="134">
        <v>0.12670000000000001</v>
      </c>
      <c r="I17" s="134">
        <v>0.1245</v>
      </c>
      <c r="J17" s="135">
        <f>(H17-$H$6)/I17</f>
        <v>0.8811244979919679</v>
      </c>
    </row>
    <row r="18" spans="2:10" s="67" customFormat="1" ht="13.8" customHeight="1" x14ac:dyDescent="0.3">
      <c r="B18" s="161" t="s">
        <v>86</v>
      </c>
      <c r="C18" s="128">
        <v>0</v>
      </c>
      <c r="D18" s="128">
        <v>0</v>
      </c>
      <c r="E18" s="128">
        <v>0.15</v>
      </c>
      <c r="F18" s="128">
        <f>C18*C$5+D18*D$5+E18*E$5</f>
        <v>0.09</v>
      </c>
      <c r="G18" s="128">
        <v>0.05</v>
      </c>
      <c r="H18" s="130">
        <v>0.1239</v>
      </c>
      <c r="I18" s="130">
        <v>0.1336</v>
      </c>
      <c r="J18" s="131">
        <f>(H18-$H$6)/I18</f>
        <v>0.80014970059880242</v>
      </c>
    </row>
    <row r="19" spans="2:10" s="67" customFormat="1" ht="13.8" customHeight="1" x14ac:dyDescent="0.3">
      <c r="B19" s="161" t="s">
        <v>87</v>
      </c>
      <c r="C19" s="128">
        <v>0</v>
      </c>
      <c r="D19" s="128">
        <v>0</v>
      </c>
      <c r="E19" s="128">
        <v>0.25</v>
      </c>
      <c r="F19" s="128">
        <f>C19*C$5+D19*D$5+E19*E$5</f>
        <v>0.15</v>
      </c>
      <c r="G19" s="128">
        <v>0.15</v>
      </c>
      <c r="H19" s="130">
        <v>0.1091</v>
      </c>
      <c r="I19" s="130">
        <v>0.19800000000000001</v>
      </c>
      <c r="J19" s="131">
        <f>(H19-$H$6)/I19</f>
        <v>0.46515151515151515</v>
      </c>
    </row>
    <row r="20" spans="2:10" s="67" customFormat="1" ht="13.8" customHeight="1" x14ac:dyDescent="0.3">
      <c r="B20" s="161" t="s">
        <v>84</v>
      </c>
      <c r="C20" s="128">
        <f>100%</f>
        <v>1</v>
      </c>
      <c r="D20" s="128">
        <f>100%</f>
        <v>1</v>
      </c>
      <c r="E20" s="128">
        <v>0.1</v>
      </c>
      <c r="F20" s="128">
        <f>C20*C$5+D20*D$5+E20*E$5</f>
        <v>0.46</v>
      </c>
      <c r="G20" s="128">
        <v>0.5</v>
      </c>
      <c r="H20" s="130">
        <v>9.6000000000000002E-2</v>
      </c>
      <c r="I20" s="130">
        <v>9.1300000000000006E-2</v>
      </c>
      <c r="J20" s="131">
        <f>(H20-$H$6)/I20</f>
        <v>0.86527929901423872</v>
      </c>
    </row>
    <row r="21" spans="2:10" s="67" customFormat="1" ht="13.8" customHeight="1" x14ac:dyDescent="0.3">
      <c r="B21" s="161" t="s">
        <v>88</v>
      </c>
      <c r="C21" s="128">
        <v>0</v>
      </c>
      <c r="D21" s="128">
        <v>0</v>
      </c>
      <c r="E21" s="128">
        <v>0.1</v>
      </c>
      <c r="F21" s="128">
        <f>C21*C$5+D21*D$5+E21*E$5</f>
        <v>0.06</v>
      </c>
      <c r="G21" s="128">
        <v>0.05</v>
      </c>
      <c r="H21" s="130">
        <v>9.6100000000000005E-2</v>
      </c>
      <c r="I21" s="132">
        <v>0.1794</v>
      </c>
      <c r="J21" s="132">
        <f>(H21-$H$6)/I21</f>
        <v>0.44091415830546266</v>
      </c>
    </row>
    <row r="22" spans="2:10" s="29" customFormat="1" x14ac:dyDescent="0.25">
      <c r="B22" s="162" t="s">
        <v>83</v>
      </c>
      <c r="C22" s="129">
        <f>SUM(C17:C21)</f>
        <v>1</v>
      </c>
      <c r="D22" s="129">
        <f>SUM(D17:D21)</f>
        <v>1</v>
      </c>
      <c r="E22" s="129">
        <f>SUM(E17:E21)</f>
        <v>1</v>
      </c>
      <c r="F22" s="129">
        <f>SUM(F17:F21)</f>
        <v>1</v>
      </c>
      <c r="G22" s="129">
        <f>SUM(G17:G21)</f>
        <v>1</v>
      </c>
      <c r="H22" s="133"/>
      <c r="I22" s="132"/>
      <c r="J22" s="132"/>
    </row>
    <row r="23" spans="2:10" x14ac:dyDescent="0.25">
      <c r="B23" s="163" t="s">
        <v>96</v>
      </c>
      <c r="C23" s="32">
        <f>C5*$F23</f>
        <v>50</v>
      </c>
      <c r="D23" s="32">
        <f>MIN(150,G8*F23)</f>
        <v>150</v>
      </c>
      <c r="E23" s="32">
        <f>F23-C23-D23</f>
        <v>300</v>
      </c>
      <c r="F23" s="33">
        <v>500</v>
      </c>
    </row>
    <row r="24" spans="2:10" ht="15.6" customHeight="1" x14ac:dyDescent="0.25">
      <c r="B24" s="157" t="s">
        <v>97</v>
      </c>
      <c r="C24" s="19">
        <f>C6*$H$6+C7*$H$6</f>
        <v>1.7000000000000001E-2</v>
      </c>
      <c r="D24" s="20">
        <f>(D8+D9)*$H$8</f>
        <v>0.10704000000000001</v>
      </c>
      <c r="E24" s="39">
        <f>(E8+E9)*$H$8+(E10+E11)*$H$10+(E6+E7)*$H$6</f>
        <v>6.2166666666666683E-2</v>
      </c>
      <c r="F24" s="137">
        <f>(1+F25)^0.2-1</f>
        <v>7.2465027787965708E-2</v>
      </c>
    </row>
    <row r="25" spans="2:10" x14ac:dyDescent="0.25">
      <c r="B25" s="157" t="s">
        <v>98</v>
      </c>
      <c r="C25" s="40">
        <f>(1+C24)^5-1</f>
        <v>8.7939549024856456E-2</v>
      </c>
      <c r="D25" s="41">
        <f>(1+D24)^5-1</f>
        <v>0.66271022027856463</v>
      </c>
      <c r="E25" s="42">
        <f>(1+E24)^5-1</f>
        <v>0.35195843731931142</v>
      </c>
      <c r="F25" s="138">
        <f>F26/(C23+D23+E23)-1</f>
        <v>0.41878208337764189</v>
      </c>
    </row>
    <row r="26" spans="2:10" x14ac:dyDescent="0.25">
      <c r="B26" s="157" t="s">
        <v>99</v>
      </c>
      <c r="C26" s="44">
        <f>(1+C25)*C23</f>
        <v>54.396977451242826</v>
      </c>
      <c r="D26" s="16">
        <f>(1+D25)*D23</f>
        <v>249.40653304178468</v>
      </c>
      <c r="E26" s="45">
        <f>(1+E25)*E23</f>
        <v>405.58753119579342</v>
      </c>
      <c r="F26" s="139">
        <f>+E26+D26+C26</f>
        <v>709.39104168882091</v>
      </c>
    </row>
    <row r="27" spans="2:10" ht="13.2" customHeight="1" x14ac:dyDescent="0.25">
      <c r="B27" s="157" t="s">
        <v>100</v>
      </c>
      <c r="C27" s="44" t="s">
        <v>101</v>
      </c>
      <c r="D27" s="16" t="s">
        <v>102</v>
      </c>
      <c r="E27" s="45" t="s">
        <v>103</v>
      </c>
      <c r="F27" s="4"/>
      <c r="G27" s="6"/>
    </row>
    <row r="28" spans="2:10" x14ac:dyDescent="0.25">
      <c r="B28" s="157" t="s">
        <v>104</v>
      </c>
      <c r="C28" s="46">
        <f>(C26-C23)*31.4%</f>
        <v>1.3806509196902474</v>
      </c>
      <c r="D28" s="47">
        <f>(D26-D23)*18.6%</f>
        <v>18.489615145771953</v>
      </c>
      <c r="E28" s="48">
        <f>((E26-E23)-4.6)*24.7%</f>
        <v>24.943920205360975</v>
      </c>
      <c r="F28" s="139">
        <f>SUM(C28:E28)</f>
        <v>44.814186270823171</v>
      </c>
      <c r="G28" s="7"/>
    </row>
    <row r="29" spans="2:10" x14ac:dyDescent="0.25">
      <c r="B29" s="157" t="s">
        <v>105</v>
      </c>
      <c r="C29" s="44">
        <f>C26-C28</f>
        <v>53.016326531552579</v>
      </c>
      <c r="D29" s="16">
        <f>D26-D28</f>
        <v>230.91691789601273</v>
      </c>
      <c r="E29" s="45">
        <f>E26-E28</f>
        <v>380.64361099043242</v>
      </c>
      <c r="F29" s="139">
        <f>SUM(C29:E29)</f>
        <v>664.57685541799776</v>
      </c>
      <c r="G29" s="7"/>
    </row>
    <row r="30" spans="2:10" s="10" customFormat="1" x14ac:dyDescent="0.25">
      <c r="B30" s="164" t="s">
        <v>106</v>
      </c>
      <c r="C30" s="17">
        <f>((C29/C23))^0.2-1</f>
        <v>1.1784275550933199E-2</v>
      </c>
      <c r="D30" s="18">
        <f>((D29/D23))^0.2-1</f>
        <v>9.0116463508404854E-2</v>
      </c>
      <c r="E30" s="49">
        <f>((E29/E23))^0.2-1</f>
        <v>4.876807315665932E-2</v>
      </c>
      <c r="F30" s="8">
        <f>((F29/(C23+D23+E23)))^0.2-1</f>
        <v>5.8558933437088401E-2</v>
      </c>
      <c r="G30" s="9"/>
      <c r="H30" s="106"/>
      <c r="I30" s="106"/>
      <c r="J30" s="106"/>
    </row>
    <row r="31" spans="2:10" x14ac:dyDescent="0.25">
      <c r="B31" s="157" t="s">
        <v>107</v>
      </c>
      <c r="C31" s="19">
        <v>0</v>
      </c>
      <c r="D31" s="20">
        <f>(D9+D11)*0.33%</f>
        <v>2.1450000000000002E-3</v>
      </c>
      <c r="E31" s="39">
        <f>(E9+E11)*0.33%</f>
        <v>1.9662500000000001E-3</v>
      </c>
      <c r="F31" s="140">
        <f>SUMPRODUCT(C29:E29,C31:E31)/F29</f>
        <v>1.8715025641610724E-3</v>
      </c>
      <c r="G31" s="12"/>
    </row>
    <row r="32" spans="2:10" x14ac:dyDescent="0.25">
      <c r="B32" s="157" t="s">
        <v>108</v>
      </c>
      <c r="C32" s="70">
        <v>0</v>
      </c>
      <c r="D32" s="71">
        <f>(D6+D7+D8+D10)*1.37%</f>
        <v>4.7949999999999998E-3</v>
      </c>
      <c r="E32" s="72">
        <f>(E6+E7+E8+E10)*1.37%</f>
        <v>5.537083333333334E-3</v>
      </c>
      <c r="F32" s="141">
        <f>SUMPRODUCT(C29:E29,C32:E32)/F29</f>
        <v>4.8375172705107973E-3</v>
      </c>
      <c r="G32" s="13"/>
    </row>
    <row r="33" spans="2:10" s="14" customFormat="1" x14ac:dyDescent="0.25">
      <c r="B33" s="157" t="s">
        <v>109</v>
      </c>
      <c r="C33" s="142">
        <f>$F33</f>
        <v>2.5000000000000001E-2</v>
      </c>
      <c r="D33" s="143">
        <f>$F33</f>
        <v>2.5000000000000001E-2</v>
      </c>
      <c r="E33" s="144">
        <f>$F33</f>
        <v>2.5000000000000001E-2</v>
      </c>
      <c r="F33" s="145">
        <v>2.5000000000000001E-2</v>
      </c>
      <c r="G33" s="12"/>
      <c r="H33" s="107"/>
      <c r="I33" s="107"/>
      <c r="J33" s="107"/>
    </row>
    <row r="34" spans="2:10" ht="13.2" customHeight="1" x14ac:dyDescent="0.25">
      <c r="B34" s="165" t="s">
        <v>110</v>
      </c>
      <c r="C34" s="51">
        <f>((1+C30-(C31+C32))/(1+C33))-1</f>
        <v>-1.2893389706406522E-2</v>
      </c>
      <c r="D34" s="51">
        <f>((1+D30-(D31+D32))/(1+D33))-1</f>
        <v>5.6757525374053763E-2</v>
      </c>
      <c r="E34" s="51">
        <f>((1+E30-(E31+E32))/(1+E33))-1</f>
        <v>1.5868038852025368E-2</v>
      </c>
      <c r="F34" s="51">
        <f>((1+F30-(F31+F32))/(1+F33))-1</f>
        <v>2.6195037660894371E-2</v>
      </c>
      <c r="G34" s="77"/>
      <c r="H34" s="146">
        <f>F34</f>
        <v>2.6195037660894371E-2</v>
      </c>
      <c r="I34" s="146">
        <f>SQRT(G8^2*$I$8^2 + G10^2*$I$10^2 + (G6+G7)^2*$I$6^2 + 2*G8*G10*$I$8*$I$10*$J$35)</f>
        <v>7.081933536736279E-2</v>
      </c>
      <c r="J34" s="127">
        <f>(F24-$H$6)/I34</f>
        <v>0.78319045921923258</v>
      </c>
    </row>
    <row r="35" spans="2:10" ht="13.8" customHeight="1" x14ac:dyDescent="0.3">
      <c r="B35" s="157" t="s">
        <v>111</v>
      </c>
      <c r="C35" s="249" t="s">
        <v>112</v>
      </c>
      <c r="D35" s="247"/>
      <c r="E35" s="78" t="s">
        <v>113</v>
      </c>
      <c r="F35" s="53"/>
      <c r="H35" s="81" t="s">
        <v>119</v>
      </c>
      <c r="I35" s="81"/>
      <c r="J35" s="59">
        <v>0.11</v>
      </c>
    </row>
    <row r="36" spans="2:10" x14ac:dyDescent="0.25">
      <c r="B36" s="1"/>
    </row>
    <row r="37" spans="2:10" x14ac:dyDescent="0.25">
      <c r="B37" s="1" t="s">
        <v>114</v>
      </c>
      <c r="C37" s="79"/>
      <c r="D37" s="79"/>
      <c r="E37" s="79"/>
      <c r="J37" s="64"/>
    </row>
    <row r="38" spans="2:10" x14ac:dyDescent="0.25">
      <c r="B38" s="1"/>
      <c r="C38" s="79"/>
      <c r="D38" s="79"/>
      <c r="E38" s="79"/>
      <c r="J38" s="64"/>
    </row>
    <row r="39" spans="2:10" x14ac:dyDescent="0.25">
      <c r="B39" s="147" t="s">
        <v>131</v>
      </c>
      <c r="C39" s="79"/>
      <c r="D39" s="79"/>
      <c r="E39" s="79"/>
      <c r="J39" s="64"/>
    </row>
    <row r="40" spans="2:10" ht="13.8" customHeight="1" x14ac:dyDescent="0.35">
      <c r="B40" s="147" t="s">
        <v>132</v>
      </c>
      <c r="C40" s="85"/>
      <c r="D40" s="87"/>
      <c r="E40" s="87"/>
      <c r="F40" s="87"/>
      <c r="G40" s="81"/>
      <c r="H40" s="59"/>
      <c r="I40" s="109"/>
    </row>
    <row r="41" spans="2:10" ht="14.4" customHeight="1" x14ac:dyDescent="0.25">
      <c r="B41" s="147" t="s">
        <v>164</v>
      </c>
      <c r="C41" s="1"/>
      <c r="D41" s="1"/>
      <c r="E41" s="1"/>
      <c r="F41" s="1"/>
      <c r="G41" s="1"/>
      <c r="H41" s="110"/>
      <c r="I41" s="110"/>
      <c r="J41" s="110"/>
    </row>
    <row r="42" spans="2:10" ht="13.8" customHeight="1" x14ac:dyDescent="0.35">
      <c r="B42" s="149"/>
    </row>
    <row r="43" spans="2:10" ht="14.4" customHeight="1" x14ac:dyDescent="0.25">
      <c r="B43" s="240" t="s">
        <v>134</v>
      </c>
      <c r="C43" s="238"/>
      <c r="D43" s="238"/>
      <c r="E43" s="238"/>
      <c r="F43" s="232"/>
      <c r="G43" s="232"/>
      <c r="H43" s="239"/>
      <c r="I43" s="239"/>
      <c r="J43" s="239"/>
    </row>
    <row r="44" spans="2:10" ht="14.4" customHeight="1" x14ac:dyDescent="0.3">
      <c r="B44" s="150" t="s">
        <v>135</v>
      </c>
      <c r="C44" s="82">
        <f>(($H$8-$H$6)*$I$10^2-($H$10-$H$6)*$J$35*$I$8*$I$10)/(($H$8-$H$6)*$I$10^2+($H$10-$H$6)*$I$8^2-(($H$8-$H$6)+($H$10-$H$6))*$J$35*$I$8*$I$10)</f>
        <v>0.60792301872298615</v>
      </c>
      <c r="D44" s="82" t="s">
        <v>136</v>
      </c>
      <c r="E44" s="82">
        <f>1-C44</f>
        <v>0.39207698127701385</v>
      </c>
      <c r="F44" s="82"/>
    </row>
    <row r="45" spans="2:10" ht="14.4" customHeight="1" x14ac:dyDescent="0.3">
      <c r="B45" s="150" t="s">
        <v>137</v>
      </c>
      <c r="C45" s="82">
        <f>(C44*$H$8+E44*$H$10)-$H$6</f>
        <v>6.0736166419355989E-2</v>
      </c>
      <c r="D45" s="82"/>
      <c r="E45" s="82"/>
      <c r="F45" s="82"/>
    </row>
    <row r="46" spans="2:10" ht="14.4" customHeight="1" x14ac:dyDescent="0.3">
      <c r="B46" s="150" t="s">
        <v>138</v>
      </c>
      <c r="C46" s="82">
        <f>SQRT((C44^2*$I$8^2+E44^2*$I$10^2+2*C44*E44*$J$35*$I$8*$I$10))</f>
        <v>7.9424324806655511E-2</v>
      </c>
      <c r="D46" s="82"/>
      <c r="E46" s="82"/>
      <c r="F46" s="82"/>
    </row>
    <row r="47" spans="2:10" ht="14.4" customHeight="1" x14ac:dyDescent="0.3">
      <c r="B47" s="150" t="s">
        <v>139</v>
      </c>
      <c r="C47" s="60">
        <f>C45/C46</f>
        <v>0.76470485039951497</v>
      </c>
      <c r="D47" s="82"/>
      <c r="E47" s="82"/>
      <c r="F47" s="82"/>
    </row>
    <row r="48" spans="2:10" ht="26.4" customHeight="1" x14ac:dyDescent="0.25">
      <c r="B48" s="151" t="s">
        <v>140</v>
      </c>
      <c r="C48" s="85">
        <f>((($G$8*$H$8+$G$10*$H$10+($G$6+$G$7)*$H$6))-$H$6)/SQRT(($G$8^2*$I$8^2+$G$10^2*$I$10^2+($G$6+$G$7)^2*$I$6^2+2*$G$8*$G$10*$J$35*$I$8*$I$10))</f>
        <v>0.76408511488145958</v>
      </c>
      <c r="D48" s="91" t="s">
        <v>141</v>
      </c>
      <c r="E48" s="82">
        <f>G8/(G8+G10)</f>
        <v>0.6470588235294118</v>
      </c>
      <c r="F48" s="82"/>
    </row>
    <row r="49" spans="2:10" ht="18" customHeight="1" x14ac:dyDescent="0.25">
      <c r="B49" s="147" t="s">
        <v>142</v>
      </c>
      <c r="C49" s="85"/>
      <c r="D49" s="91"/>
      <c r="E49" s="82"/>
      <c r="F49" s="82"/>
    </row>
    <row r="50" spans="2:10" ht="18" customHeight="1" x14ac:dyDescent="0.25">
      <c r="B50" s="147" t="s">
        <v>143</v>
      </c>
      <c r="C50" s="85"/>
      <c r="D50" s="91"/>
      <c r="E50" s="82"/>
      <c r="F50" s="82"/>
    </row>
    <row r="51" spans="2:10" ht="14.4" customHeight="1" x14ac:dyDescent="0.25">
      <c r="B51" s="147" t="s">
        <v>144</v>
      </c>
      <c r="C51" s="1"/>
      <c r="D51" s="1"/>
      <c r="E51" s="1"/>
      <c r="F51" s="1"/>
      <c r="G51" s="1"/>
      <c r="H51" s="110"/>
      <c r="I51" s="110"/>
      <c r="J51" s="110"/>
    </row>
    <row r="52" spans="2:10" ht="14.4" customHeight="1" x14ac:dyDescent="0.3">
      <c r="B52" s="83"/>
    </row>
    <row r="53" spans="2:10" ht="14.4" customHeight="1" x14ac:dyDescent="0.25">
      <c r="B53" s="240" t="s">
        <v>145</v>
      </c>
      <c r="C53" s="238"/>
      <c r="D53" s="238"/>
      <c r="E53" s="238"/>
      <c r="F53" s="232"/>
      <c r="G53" s="232"/>
      <c r="H53" s="239"/>
      <c r="I53" s="239"/>
      <c r="J53" s="239"/>
    </row>
    <row r="54" spans="2:10" ht="14.4" customHeight="1" x14ac:dyDescent="0.3">
      <c r="B54" s="83"/>
      <c r="C54" s="92" t="s">
        <v>146</v>
      </c>
      <c r="D54" s="92" t="s">
        <v>147</v>
      </c>
      <c r="E54" s="92" t="s">
        <v>148</v>
      </c>
      <c r="F54" s="61" t="s">
        <v>147</v>
      </c>
      <c r="G54" s="81"/>
      <c r="H54" s="56"/>
    </row>
    <row r="55" spans="2:10" ht="14.4" customHeight="1" x14ac:dyDescent="0.3">
      <c r="B55" s="150" t="s">
        <v>149</v>
      </c>
      <c r="C55" s="93">
        <f>F34</f>
        <v>2.6195037660894371E-2</v>
      </c>
      <c r="D55" s="93">
        <v>0</v>
      </c>
      <c r="E55" s="93">
        <f>$I$34</f>
        <v>7.081933536736279E-2</v>
      </c>
      <c r="F55" s="82">
        <v>0</v>
      </c>
    </row>
    <row r="56" spans="2:10" ht="14.4" customHeight="1" x14ac:dyDescent="0.3">
      <c r="B56" s="150" t="s">
        <v>150</v>
      </c>
      <c r="C56" s="93">
        <v>2.93E-2</v>
      </c>
      <c r="D56" s="93">
        <f>C56-$C$55</f>
        <v>3.1049623391056283E-3</v>
      </c>
      <c r="E56" s="93">
        <f>$I$34</f>
        <v>7.081933536736279E-2</v>
      </c>
      <c r="F56" s="82">
        <v>0</v>
      </c>
    </row>
    <row r="57" spans="2:10" ht="14.4" customHeight="1" x14ac:dyDescent="0.3">
      <c r="B57" s="150" t="s">
        <v>151</v>
      </c>
      <c r="C57" s="94">
        <v>2.5499999999999998E-2</v>
      </c>
      <c r="D57" s="94">
        <f>C57-$C$55</f>
        <v>-6.9503766089437299E-4</v>
      </c>
      <c r="E57" s="94">
        <v>6.7000000000000004E-2</v>
      </c>
      <c r="F57" s="56">
        <f>E57-$E$55</f>
        <v>-3.8193353673627861E-3</v>
      </c>
      <c r="G57" s="29"/>
      <c r="H57" s="29"/>
      <c r="I57" s="29"/>
    </row>
    <row r="58" spans="2:10" ht="13.8" customHeight="1" x14ac:dyDescent="0.3">
      <c r="B58" s="152" t="s">
        <v>152</v>
      </c>
      <c r="C58" s="95">
        <v>1.6400000000000001E-2</v>
      </c>
      <c r="D58" s="93">
        <f>C58-$C$55</f>
        <v>-9.79503766089437E-3</v>
      </c>
      <c r="E58" s="93">
        <f>$I$34</f>
        <v>7.081933536736279E-2</v>
      </c>
      <c r="F58" s="82">
        <v>0</v>
      </c>
      <c r="G58" s="82"/>
      <c r="H58" s="82"/>
      <c r="I58" s="85"/>
    </row>
    <row r="59" spans="2:10" ht="14.4" customHeight="1" x14ac:dyDescent="0.3">
      <c r="B59" s="153"/>
      <c r="C59" s="62"/>
      <c r="D59" s="82"/>
      <c r="E59" s="82"/>
      <c r="F59" s="82"/>
      <c r="G59" s="82"/>
      <c r="H59" s="82"/>
      <c r="I59" s="85"/>
    </row>
    <row r="60" spans="2:10" ht="14.4" customHeight="1" x14ac:dyDescent="0.25">
      <c r="B60" s="147" t="s">
        <v>153</v>
      </c>
      <c r="C60" s="1"/>
      <c r="D60" s="1"/>
      <c r="E60" s="1"/>
      <c r="F60" s="1"/>
      <c r="G60" s="1"/>
      <c r="H60" s="110"/>
      <c r="I60" s="110"/>
      <c r="J60" s="110"/>
    </row>
    <row r="61" spans="2:10" ht="13.8" customHeight="1" x14ac:dyDescent="0.25">
      <c r="B61" s="147" t="s">
        <v>154</v>
      </c>
      <c r="C61" s="1"/>
      <c r="D61" s="1"/>
      <c r="E61" s="1"/>
      <c r="F61" s="1"/>
      <c r="G61" s="1"/>
      <c r="H61" s="110"/>
      <c r="I61" s="110"/>
      <c r="J61" s="110"/>
    </row>
    <row r="62" spans="2:10" x14ac:dyDescent="0.25">
      <c r="B62" s="147" t="s">
        <v>155</v>
      </c>
      <c r="C62" s="1"/>
      <c r="D62" s="1"/>
      <c r="E62" s="1"/>
      <c r="F62" s="1"/>
      <c r="G62" s="1"/>
      <c r="H62" s="110"/>
      <c r="I62" s="110"/>
      <c r="J62" s="110"/>
    </row>
    <row r="63" spans="2:10" ht="14.4" customHeight="1" x14ac:dyDescent="0.3">
      <c r="B63" s="147" t="s">
        <v>156</v>
      </c>
      <c r="C63" s="62"/>
      <c r="D63" s="82"/>
      <c r="E63" s="82"/>
      <c r="F63" s="82"/>
      <c r="G63" s="82"/>
      <c r="H63" s="82"/>
      <c r="I63" s="85"/>
    </row>
    <row r="64" spans="2:10" ht="13.8" customHeight="1" x14ac:dyDescent="0.25">
      <c r="B64" s="154"/>
    </row>
    <row r="65" spans="2:10" ht="15" customHeight="1" x14ac:dyDescent="0.25">
      <c r="B65" s="147" t="s">
        <v>157</v>
      </c>
    </row>
    <row r="66" spans="2:10" ht="15" customHeight="1" x14ac:dyDescent="0.25">
      <c r="B66" s="147" t="s">
        <v>158</v>
      </c>
    </row>
    <row r="67" spans="2:10" ht="15" customHeight="1" x14ac:dyDescent="0.25">
      <c r="B67" s="147" t="s">
        <v>159</v>
      </c>
    </row>
    <row r="68" spans="2:10" ht="15" customHeight="1" x14ac:dyDescent="0.25">
      <c r="B68" s="147" t="s">
        <v>165</v>
      </c>
    </row>
    <row r="69" spans="2:10" ht="13.8" customHeight="1" x14ac:dyDescent="0.25">
      <c r="B69" s="237"/>
      <c r="C69" s="238"/>
      <c r="D69" s="238"/>
      <c r="E69" s="238"/>
      <c r="F69" s="232"/>
      <c r="G69" s="232"/>
      <c r="H69" s="239"/>
      <c r="I69" s="239"/>
      <c r="J69" s="239"/>
    </row>
    <row r="70" spans="2:10" ht="14.4" customHeight="1" x14ac:dyDescent="0.3">
      <c r="B70" s="153"/>
    </row>
    <row r="71" spans="2:10" ht="14.4" customHeight="1" x14ac:dyDescent="0.3">
      <c r="B71" s="153"/>
    </row>
    <row r="72" spans="2:10" ht="13.8" customHeight="1" x14ac:dyDescent="0.25">
      <c r="B72" s="237"/>
      <c r="C72" s="238"/>
      <c r="D72" s="238"/>
      <c r="E72" s="238"/>
      <c r="F72" s="232"/>
      <c r="G72" s="232"/>
      <c r="H72" s="239"/>
      <c r="I72" s="239"/>
      <c r="J72" s="239"/>
    </row>
    <row r="73" spans="2:10" ht="14.4" customHeight="1" x14ac:dyDescent="0.3">
      <c r="B73" s="153"/>
    </row>
    <row r="74" spans="2:10" ht="14.4" customHeight="1" x14ac:dyDescent="0.3">
      <c r="B74" s="153"/>
    </row>
    <row r="75" spans="2:10" ht="13.8" customHeight="1" x14ac:dyDescent="0.25">
      <c r="B75" s="237"/>
      <c r="C75" s="238"/>
      <c r="D75" s="238"/>
      <c r="E75" s="238"/>
      <c r="F75" s="232"/>
      <c r="G75" s="232"/>
      <c r="H75" s="239"/>
      <c r="I75" s="239"/>
      <c r="J75" s="239"/>
    </row>
    <row r="76" spans="2:10" ht="13.8" customHeight="1" x14ac:dyDescent="0.25">
      <c r="B76" s="237"/>
      <c r="C76" s="238"/>
      <c r="D76" s="238"/>
      <c r="E76" s="238"/>
      <c r="F76" s="232"/>
      <c r="G76" s="232"/>
      <c r="H76" s="239"/>
      <c r="I76" s="239"/>
      <c r="J76" s="239"/>
    </row>
    <row r="79" spans="2:10" ht="13.8" customHeight="1" x14ac:dyDescent="0.3">
      <c r="B79" s="248"/>
      <c r="C79" s="238"/>
      <c r="D79" s="238"/>
      <c r="E79" s="238"/>
      <c r="F79" s="232"/>
      <c r="G79" s="232"/>
      <c r="H79" s="239"/>
      <c r="I79" s="239"/>
      <c r="J79" s="239"/>
    </row>
    <row r="80" spans="2:10" ht="13.8" customHeight="1" x14ac:dyDescent="0.3">
      <c r="B80" s="155"/>
    </row>
    <row r="81" spans="2:8" s="67" customFormat="1" ht="13.8" customHeight="1" x14ac:dyDescent="0.25">
      <c r="B81" s="148"/>
      <c r="C81" s="64"/>
      <c r="D81" s="64"/>
      <c r="E81" s="64"/>
    </row>
    <row r="83" spans="2:8" s="67" customFormat="1" ht="13.8" customHeight="1" x14ac:dyDescent="0.3">
      <c r="B83" s="156"/>
      <c r="C83" s="64"/>
      <c r="D83" s="63"/>
      <c r="E83" s="64"/>
      <c r="H83" s="56"/>
    </row>
    <row r="84" spans="2:8" s="67" customFormat="1" x14ac:dyDescent="0.25">
      <c r="B84" s="148"/>
      <c r="C84" s="98"/>
      <c r="D84" s="64"/>
      <c r="E84" s="64"/>
    </row>
    <row r="86" spans="2:8" s="67" customFormat="1" x14ac:dyDescent="0.25">
      <c r="B86" s="156"/>
      <c r="C86" s="64"/>
      <c r="D86" s="61"/>
      <c r="E86" s="64"/>
    </row>
    <row r="87" spans="2:8" s="67" customFormat="1" ht="13.8" customHeight="1" x14ac:dyDescent="0.3">
      <c r="B87" s="155"/>
      <c r="C87" s="64"/>
      <c r="D87" s="64"/>
      <c r="E87" s="64"/>
    </row>
    <row r="88" spans="2:8" s="67" customFormat="1" x14ac:dyDescent="0.25">
      <c r="B88" s="148"/>
      <c r="C88" s="64"/>
      <c r="D88" s="87"/>
      <c r="E88" s="64"/>
    </row>
    <row r="89" spans="2:8" s="67" customFormat="1" x14ac:dyDescent="0.25">
      <c r="B89" s="148"/>
      <c r="C89" s="64"/>
      <c r="D89" s="87"/>
      <c r="E89" s="64"/>
    </row>
    <row r="90" spans="2:8" s="67" customFormat="1" x14ac:dyDescent="0.25">
      <c r="B90" s="148"/>
      <c r="C90" s="64"/>
      <c r="D90" s="87"/>
      <c r="E90" s="64"/>
    </row>
    <row r="91" spans="2:8" s="67" customFormat="1" x14ac:dyDescent="0.25">
      <c r="B91" s="148"/>
      <c r="C91" s="64"/>
      <c r="D91" s="87"/>
      <c r="E91" s="64"/>
    </row>
    <row r="92" spans="2:8" s="67" customFormat="1" x14ac:dyDescent="0.25">
      <c r="B92" s="148"/>
      <c r="C92" s="64"/>
      <c r="D92" s="61"/>
      <c r="E92" s="64"/>
    </row>
    <row r="94" spans="2:8" s="67" customFormat="1" ht="14.4" customHeight="1" x14ac:dyDescent="0.3">
      <c r="B94" s="153"/>
      <c r="C94" s="64"/>
      <c r="D94" s="64"/>
      <c r="E94" s="64"/>
    </row>
    <row r="95" spans="2:8" s="67" customFormat="1" x14ac:dyDescent="0.25">
      <c r="B95" s="148"/>
      <c r="C95" s="55"/>
      <c r="D95" s="55"/>
      <c r="E95" s="55"/>
      <c r="F95" s="55"/>
    </row>
    <row r="97" spans="3:6" x14ac:dyDescent="0.25">
      <c r="C97" s="98"/>
      <c r="D97" s="98"/>
      <c r="E97" s="98"/>
      <c r="F97" s="98"/>
    </row>
    <row r="98" spans="3:6" x14ac:dyDescent="0.25">
      <c r="C98" s="87"/>
      <c r="D98" s="87"/>
      <c r="E98" s="87"/>
      <c r="F98" s="87"/>
    </row>
    <row r="99" spans="3:6" x14ac:dyDescent="0.25">
      <c r="C99" s="87"/>
      <c r="D99" s="87"/>
      <c r="E99" s="87"/>
      <c r="F99" s="87"/>
    </row>
    <row r="100" spans="3:6" x14ac:dyDescent="0.25">
      <c r="C100" s="98"/>
      <c r="D100" s="98"/>
      <c r="E100" s="98"/>
      <c r="F100" s="98"/>
    </row>
    <row r="102" spans="3:6" x14ac:dyDescent="0.25">
      <c r="C102" s="98"/>
      <c r="D102" s="98"/>
      <c r="E102" s="98"/>
      <c r="F102" s="98"/>
    </row>
    <row r="103" spans="3:6" x14ac:dyDescent="0.25">
      <c r="C103" s="87"/>
      <c r="D103" s="87"/>
      <c r="E103" s="87"/>
      <c r="F103" s="87"/>
    </row>
    <row r="104" spans="3:6" x14ac:dyDescent="0.25">
      <c r="C104" s="87"/>
      <c r="D104" s="87"/>
      <c r="E104" s="87"/>
      <c r="F104" s="87"/>
    </row>
    <row r="105" spans="3:6" x14ac:dyDescent="0.25">
      <c r="C105" s="87"/>
      <c r="D105" s="87"/>
      <c r="E105" s="87"/>
      <c r="F105" s="87"/>
    </row>
  </sheetData>
  <mergeCells count="20">
    <mergeCell ref="J10:J11"/>
    <mergeCell ref="B76:J76"/>
    <mergeCell ref="B79:J79"/>
    <mergeCell ref="B75:J75"/>
    <mergeCell ref="I10:I11"/>
    <mergeCell ref="B72:J72"/>
    <mergeCell ref="B43:J43"/>
    <mergeCell ref="H10:H11"/>
    <mergeCell ref="B53:J53"/>
    <mergeCell ref="B69:J69"/>
    <mergeCell ref="G10:G11"/>
    <mergeCell ref="C35:D35"/>
    <mergeCell ref="I8:I9"/>
    <mergeCell ref="H8:H9"/>
    <mergeCell ref="J8:J9"/>
    <mergeCell ref="I6:I7"/>
    <mergeCell ref="B2:J2"/>
    <mergeCell ref="G8:G9"/>
    <mergeCell ref="H6:H7"/>
    <mergeCell ref="J6:J7"/>
  </mergeCells>
  <pageMargins left="0.7" right="0.7" top="0.75" bottom="0.75" header="0.3" footer="0.3"/>
  <pageSetup scale="73" orientation="landscape" horizontalDpi="4294967293" verticalDpi="429496729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N20"/>
  <sheetViews>
    <sheetView workbookViewId="0">
      <selection activeCell="R8" sqref="R8"/>
    </sheetView>
  </sheetViews>
  <sheetFormatPr defaultRowHeight="13.2" x14ac:dyDescent="0.25"/>
  <sheetData>
    <row r="1" spans="2:14" ht="16.8" customHeight="1" x14ac:dyDescent="0.3">
      <c r="B1" s="171" t="s">
        <v>166</v>
      </c>
    </row>
    <row r="2" spans="2:14" x14ac:dyDescent="0.25">
      <c r="B2" s="185" t="s">
        <v>167</v>
      </c>
    </row>
    <row r="4" spans="2:14" x14ac:dyDescent="0.25">
      <c r="C4" s="172" t="s">
        <v>168</v>
      </c>
      <c r="D4" s="172" t="s">
        <v>169</v>
      </c>
      <c r="E4" s="172" t="s">
        <v>170</v>
      </c>
      <c r="F4" s="172" t="s">
        <v>171</v>
      </c>
      <c r="G4" s="172" t="s">
        <v>172</v>
      </c>
      <c r="H4" s="172" t="s">
        <v>173</v>
      </c>
      <c r="I4" s="172" t="s">
        <v>174</v>
      </c>
      <c r="J4" s="172" t="s">
        <v>175</v>
      </c>
      <c r="K4" s="172" t="s">
        <v>176</v>
      </c>
      <c r="L4" s="172" t="s">
        <v>177</v>
      </c>
      <c r="M4" s="172" t="s">
        <v>178</v>
      </c>
      <c r="N4" s="172" t="s">
        <v>179</v>
      </c>
    </row>
    <row r="5" spans="2:14" x14ac:dyDescent="0.25">
      <c r="B5" s="173" t="s">
        <v>168</v>
      </c>
      <c r="C5" s="174">
        <v>1</v>
      </c>
      <c r="D5" s="174">
        <v>0.88500000000000001</v>
      </c>
      <c r="E5" s="174">
        <v>0.96499999999999997</v>
      </c>
      <c r="F5" s="174">
        <v>0.17199999999999999</v>
      </c>
      <c r="G5" s="174">
        <v>0.17399999999999999</v>
      </c>
      <c r="H5" s="174">
        <v>0.24</v>
      </c>
      <c r="I5" s="174">
        <v>0.23599999999999999</v>
      </c>
      <c r="J5" s="174">
        <v>0.19800000000000001</v>
      </c>
      <c r="K5" s="174">
        <v>0.21299999999999999</v>
      </c>
      <c r="L5" s="174">
        <v>0.45900000000000002</v>
      </c>
      <c r="M5" s="174">
        <v>0.38200000000000001</v>
      </c>
      <c r="N5" s="174">
        <v>0.309</v>
      </c>
    </row>
    <row r="6" spans="2:14" x14ac:dyDescent="0.25">
      <c r="B6" s="173" t="s">
        <v>169</v>
      </c>
      <c r="C6" s="174">
        <v>0.88500000000000001</v>
      </c>
      <c r="D6" s="174">
        <v>1</v>
      </c>
      <c r="E6" s="174">
        <v>0.76600000000000001</v>
      </c>
      <c r="F6" s="174">
        <v>0.14199999999999999</v>
      </c>
      <c r="G6" s="174">
        <v>0.13700000000000001</v>
      </c>
      <c r="H6" s="174">
        <v>0.21299999999999999</v>
      </c>
      <c r="I6" s="174">
        <v>0.20499999999999999</v>
      </c>
      <c r="J6" s="174">
        <v>0.20300000000000001</v>
      </c>
      <c r="K6" s="174">
        <v>0.152</v>
      </c>
      <c r="L6" s="174">
        <v>0.46</v>
      </c>
      <c r="M6" s="174">
        <v>0.41599999999999998</v>
      </c>
      <c r="N6" s="174">
        <v>0.38800000000000001</v>
      </c>
    </row>
    <row r="7" spans="2:14" x14ac:dyDescent="0.25">
      <c r="B7" s="173" t="s">
        <v>170</v>
      </c>
      <c r="C7" s="174">
        <v>0.96499999999999997</v>
      </c>
      <c r="D7" s="174">
        <v>0.76600000000000001</v>
      </c>
      <c r="E7" s="174">
        <v>1</v>
      </c>
      <c r="F7" s="174">
        <v>0.152</v>
      </c>
      <c r="G7" s="174">
        <v>0.16700000000000001</v>
      </c>
      <c r="H7" s="174">
        <v>0.214</v>
      </c>
      <c r="I7" s="174">
        <v>0.22700000000000001</v>
      </c>
      <c r="J7" s="174">
        <v>0.17499999999999999</v>
      </c>
      <c r="K7" s="174">
        <v>0.22</v>
      </c>
      <c r="L7" s="174">
        <v>0.42099999999999999</v>
      </c>
      <c r="M7" s="174">
        <v>0.32200000000000001</v>
      </c>
      <c r="N7" s="174">
        <v>0.218</v>
      </c>
    </row>
    <row r="8" spans="2:14" x14ac:dyDescent="0.25">
      <c r="B8" s="173" t="s">
        <v>171</v>
      </c>
      <c r="C8" s="174">
        <v>0.17199999999999999</v>
      </c>
      <c r="D8" s="174">
        <v>0.14199999999999999</v>
      </c>
      <c r="E8" s="174">
        <v>0.152</v>
      </c>
      <c r="F8" s="174">
        <v>1</v>
      </c>
      <c r="G8" s="174">
        <v>0.90300000000000002</v>
      </c>
      <c r="H8" s="174">
        <v>0.59199999999999997</v>
      </c>
      <c r="I8" s="174">
        <v>0.34100000000000003</v>
      </c>
      <c r="J8" s="174">
        <v>0.13800000000000001</v>
      </c>
      <c r="K8" s="174">
        <v>0.315</v>
      </c>
      <c r="L8" s="174">
        <v>0.24199999999999999</v>
      </c>
      <c r="M8" s="174">
        <v>0.219</v>
      </c>
      <c r="N8" s="174">
        <v>0.22700000000000001</v>
      </c>
    </row>
    <row r="9" spans="2:14" x14ac:dyDescent="0.25">
      <c r="B9" s="173" t="s">
        <v>172</v>
      </c>
      <c r="C9" s="174">
        <v>0.17399999999999999</v>
      </c>
      <c r="D9" s="174">
        <v>0.13700000000000001</v>
      </c>
      <c r="E9" s="174">
        <v>0.16700000000000001</v>
      </c>
      <c r="F9" s="174">
        <v>0.90300000000000002</v>
      </c>
      <c r="G9" s="174">
        <v>1</v>
      </c>
      <c r="H9" s="174">
        <v>0.52</v>
      </c>
      <c r="I9" s="174">
        <v>0.36799999999999999</v>
      </c>
      <c r="J9" s="174">
        <v>9.7000000000000003E-2</v>
      </c>
      <c r="K9" s="174">
        <v>0.371</v>
      </c>
      <c r="L9" s="174">
        <v>0.217</v>
      </c>
      <c r="M9" s="174">
        <v>0.187</v>
      </c>
      <c r="N9" s="174">
        <v>0.16200000000000001</v>
      </c>
    </row>
    <row r="10" spans="2:14" x14ac:dyDescent="0.25">
      <c r="B10" s="173" t="s">
        <v>173</v>
      </c>
      <c r="C10" s="174">
        <v>0.24</v>
      </c>
      <c r="D10" s="174">
        <v>0.21299999999999999</v>
      </c>
      <c r="E10" s="174">
        <v>0.214</v>
      </c>
      <c r="F10" s="174">
        <v>0.59199999999999997</v>
      </c>
      <c r="G10" s="174">
        <v>0.52</v>
      </c>
      <c r="H10" s="174">
        <v>1</v>
      </c>
      <c r="I10" s="174">
        <v>0.35499999999999998</v>
      </c>
      <c r="J10" s="174">
        <v>0.32800000000000001</v>
      </c>
      <c r="K10" s="174">
        <v>0.33100000000000002</v>
      </c>
      <c r="L10" s="174">
        <v>0.43099999999999999</v>
      </c>
      <c r="M10" s="174">
        <v>0.4</v>
      </c>
      <c r="N10" s="174">
        <v>0.41299999999999998</v>
      </c>
    </row>
    <row r="11" spans="2:14" x14ac:dyDescent="0.25">
      <c r="B11" s="173" t="s">
        <v>174</v>
      </c>
      <c r="C11" s="174">
        <v>0.23599999999999999</v>
      </c>
      <c r="D11" s="174">
        <v>0.20499999999999999</v>
      </c>
      <c r="E11" s="174">
        <v>0.22700000000000001</v>
      </c>
      <c r="F11" s="174">
        <v>0.34100000000000003</v>
      </c>
      <c r="G11" s="174">
        <v>0.36799999999999999</v>
      </c>
      <c r="H11" s="174">
        <v>0.35499999999999998</v>
      </c>
      <c r="I11" s="174">
        <v>1</v>
      </c>
      <c r="J11" s="174">
        <v>0.41099999999999998</v>
      </c>
      <c r="K11" s="174">
        <v>0.66</v>
      </c>
      <c r="L11" s="174">
        <v>0.439</v>
      </c>
      <c r="M11" s="174">
        <v>0.41099999999999998</v>
      </c>
      <c r="N11" s="174">
        <v>0.35799999999999998</v>
      </c>
    </row>
    <row r="12" spans="2:14" x14ac:dyDescent="0.25">
      <c r="B12" s="173" t="s">
        <v>175</v>
      </c>
      <c r="C12" s="174">
        <v>0.19800000000000001</v>
      </c>
      <c r="D12" s="174">
        <v>0.20300000000000001</v>
      </c>
      <c r="E12" s="174">
        <v>0.17499999999999999</v>
      </c>
      <c r="F12" s="174">
        <v>0.13800000000000001</v>
      </c>
      <c r="G12" s="174">
        <v>9.7000000000000003E-2</v>
      </c>
      <c r="H12" s="174">
        <v>0.32800000000000001</v>
      </c>
      <c r="I12" s="174">
        <v>0.41099999999999998</v>
      </c>
      <c r="J12" s="174">
        <v>1</v>
      </c>
      <c r="K12" s="174">
        <v>0.377</v>
      </c>
      <c r="L12" s="174">
        <v>0.38700000000000001</v>
      </c>
      <c r="M12" s="174">
        <v>0.373</v>
      </c>
      <c r="N12" s="174">
        <v>0.33800000000000002</v>
      </c>
    </row>
    <row r="13" spans="2:14" x14ac:dyDescent="0.25">
      <c r="B13" s="173" t="s">
        <v>176</v>
      </c>
      <c r="C13" s="174">
        <v>0.21299999999999999</v>
      </c>
      <c r="D13" s="174">
        <v>0.152</v>
      </c>
      <c r="E13" s="174">
        <v>0.22</v>
      </c>
      <c r="F13" s="174">
        <v>0.315</v>
      </c>
      <c r="G13" s="174">
        <v>0.371</v>
      </c>
      <c r="H13" s="174">
        <v>0.33100000000000002</v>
      </c>
      <c r="I13" s="174">
        <v>0.66</v>
      </c>
      <c r="J13" s="174">
        <v>0.377</v>
      </c>
      <c r="K13" s="174">
        <v>1</v>
      </c>
      <c r="L13" s="174">
        <v>0.35599999999999998</v>
      </c>
      <c r="M13" s="174">
        <v>0.32900000000000001</v>
      </c>
      <c r="N13" s="174">
        <v>0.25600000000000001</v>
      </c>
    </row>
    <row r="14" spans="2:14" x14ac:dyDescent="0.25">
      <c r="B14" s="173" t="s">
        <v>177</v>
      </c>
      <c r="C14" s="174">
        <v>0.45900000000000002</v>
      </c>
      <c r="D14" s="174">
        <v>0.46</v>
      </c>
      <c r="E14" s="174">
        <v>0.42099999999999999</v>
      </c>
      <c r="F14" s="174">
        <v>0.24199999999999999</v>
      </c>
      <c r="G14" s="174">
        <v>0.217</v>
      </c>
      <c r="H14" s="174">
        <v>0.43099999999999999</v>
      </c>
      <c r="I14" s="174">
        <v>0.439</v>
      </c>
      <c r="J14" s="174">
        <v>0.38700000000000001</v>
      </c>
      <c r="K14" s="174">
        <v>0.35599999999999998</v>
      </c>
      <c r="L14" s="174">
        <v>1</v>
      </c>
      <c r="M14" s="174">
        <v>0.93400000000000005</v>
      </c>
      <c r="N14" s="174">
        <v>0.74199999999999999</v>
      </c>
    </row>
    <row r="15" spans="2:14" x14ac:dyDescent="0.25">
      <c r="B15" s="173" t="s">
        <v>178</v>
      </c>
      <c r="C15" s="174">
        <v>0.38200000000000001</v>
      </c>
      <c r="D15" s="174">
        <v>0.41599999999999998</v>
      </c>
      <c r="E15" s="174">
        <v>0.32200000000000001</v>
      </c>
      <c r="F15" s="174">
        <v>0.219</v>
      </c>
      <c r="G15" s="174">
        <v>0.187</v>
      </c>
      <c r="H15" s="174">
        <v>0.4</v>
      </c>
      <c r="I15" s="174">
        <v>0.41099999999999998</v>
      </c>
      <c r="J15" s="174">
        <v>0.373</v>
      </c>
      <c r="K15" s="174">
        <v>0.32900000000000001</v>
      </c>
      <c r="L15" s="174">
        <v>0.93400000000000005</v>
      </c>
      <c r="M15" s="174">
        <v>1</v>
      </c>
      <c r="N15" s="174">
        <v>0.746</v>
      </c>
    </row>
    <row r="16" spans="2:14" x14ac:dyDescent="0.25">
      <c r="B16" s="173" t="s">
        <v>179</v>
      </c>
      <c r="C16" s="174">
        <v>0.309</v>
      </c>
      <c r="D16" s="174">
        <v>0.38800000000000001</v>
      </c>
      <c r="E16" s="174">
        <v>0.218</v>
      </c>
      <c r="F16" s="174">
        <v>0.22700000000000001</v>
      </c>
      <c r="G16" s="174">
        <v>0.16200000000000001</v>
      </c>
      <c r="H16" s="174">
        <v>0.41299999999999998</v>
      </c>
      <c r="I16" s="174">
        <v>0.35799999999999998</v>
      </c>
      <c r="J16" s="174">
        <v>0.33800000000000002</v>
      </c>
      <c r="K16" s="174">
        <v>0.25600000000000001</v>
      </c>
      <c r="L16" s="174">
        <v>0.74199999999999999</v>
      </c>
      <c r="M16" s="174">
        <v>0.746</v>
      </c>
      <c r="N16" s="174">
        <v>1</v>
      </c>
    </row>
    <row r="18" spans="2:14" x14ac:dyDescent="0.25">
      <c r="B18" s="185" t="s">
        <v>180</v>
      </c>
    </row>
    <row r="20" spans="2:14" x14ac:dyDescent="0.25">
      <c r="B20" s="233" t="s">
        <v>181</v>
      </c>
      <c r="C20" s="232"/>
      <c r="D20" s="232"/>
      <c r="E20" s="232"/>
      <c r="F20" s="232"/>
      <c r="G20" s="232"/>
      <c r="H20" s="232"/>
      <c r="I20" s="232"/>
      <c r="J20" s="232"/>
      <c r="K20" s="232"/>
      <c r="L20" s="232"/>
      <c r="M20" s="232"/>
      <c r="N20" s="232"/>
    </row>
  </sheetData>
  <mergeCells count="1">
    <mergeCell ref="B20:N20"/>
  </mergeCells>
  <conditionalFormatting sqref="C5:N16">
    <cfRule type="colorScale" priority="1">
      <colorScale>
        <cfvo type="num" val="0"/>
        <cfvo type="num" val="0.5"/>
        <cfvo type="num" val="1"/>
        <color rgb="FFFFFFFF"/>
        <color rgb="FFFFD966"/>
        <color rgb="FFC00000"/>
      </colorScale>
    </cfRule>
  </conditionalFormatting>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69"/>
  <sheetViews>
    <sheetView tabSelected="1" topLeftCell="A27" workbookViewId="0">
      <selection activeCell="B28" sqref="B28"/>
    </sheetView>
  </sheetViews>
  <sheetFormatPr defaultRowHeight="13.2" x14ac:dyDescent="0.25"/>
  <cols>
    <col min="2" max="2" width="72.77734375" customWidth="1"/>
    <col min="3" max="3" width="14.5546875" bestFit="1" customWidth="1"/>
    <col min="4" max="4" width="16" bestFit="1" customWidth="1"/>
    <col min="5" max="5" width="11.33203125" bestFit="1" customWidth="1"/>
    <col min="6" max="7" width="12.21875" bestFit="1" customWidth="1"/>
  </cols>
  <sheetData>
    <row r="1" spans="2:10" ht="16.8" customHeight="1" x14ac:dyDescent="0.3">
      <c r="B1" s="112" t="s">
        <v>0</v>
      </c>
    </row>
    <row r="2" spans="2:10" x14ac:dyDescent="0.25">
      <c r="B2" s="231" t="s">
        <v>1</v>
      </c>
      <c r="C2" s="232"/>
      <c r="D2" s="232"/>
      <c r="E2" s="232"/>
      <c r="F2" s="232"/>
      <c r="G2" s="232"/>
      <c r="H2" s="232"/>
      <c r="I2" s="232"/>
      <c r="J2" s="232"/>
    </row>
    <row r="4" spans="2:10" x14ac:dyDescent="0.25">
      <c r="B4" s="113" t="s">
        <v>2</v>
      </c>
      <c r="D4" s="114">
        <v>46245</v>
      </c>
    </row>
    <row r="6" spans="2:10" x14ac:dyDescent="0.25">
      <c r="B6" s="113" t="s">
        <v>3</v>
      </c>
      <c r="G6" s="67" t="s">
        <v>4</v>
      </c>
      <c r="H6" s="166">
        <v>-0.06</v>
      </c>
      <c r="I6" s="166">
        <v>-0.04</v>
      </c>
    </row>
    <row r="7" spans="2:10" x14ac:dyDescent="0.25">
      <c r="B7" s="115" t="s">
        <v>5</v>
      </c>
      <c r="C7" s="115" t="s">
        <v>6</v>
      </c>
      <c r="D7" s="115" t="s">
        <v>7</v>
      </c>
      <c r="E7" s="115" t="s">
        <v>8</v>
      </c>
      <c r="F7" s="115" t="s">
        <v>9</v>
      </c>
      <c r="G7" s="115" t="s">
        <v>10</v>
      </c>
      <c r="H7" s="115" t="s">
        <v>11</v>
      </c>
      <c r="I7" s="115" t="s">
        <v>12</v>
      </c>
    </row>
    <row r="8" spans="2:10" x14ac:dyDescent="0.25">
      <c r="B8" s="116" t="s">
        <v>13</v>
      </c>
      <c r="C8" s="123">
        <v>53791.85</v>
      </c>
      <c r="D8" s="123">
        <v>52637.01</v>
      </c>
      <c r="E8" s="123">
        <v>49704.47</v>
      </c>
      <c r="F8" s="120">
        <f t="shared" ref="F8:F13" si="0">IFERROR(C8/D8-1,"")</f>
        <v>2.1939696042765355E-2</v>
      </c>
      <c r="G8" s="120">
        <f t="shared" ref="G8:G13" si="1">IFERROR(C8/E8-1,"")</f>
        <v>8.2233650212948595E-2</v>
      </c>
      <c r="H8" s="117" t="str">
        <f t="shared" ref="H8:I13" si="2">IF(F8="","",IF(F8&gt;H$6,"OK","NOK"))</f>
        <v>OK</v>
      </c>
      <c r="I8" s="117" t="str">
        <f t="shared" si="2"/>
        <v>OK</v>
      </c>
    </row>
    <row r="9" spans="2:10" x14ac:dyDescent="0.25">
      <c r="B9" s="116" t="s">
        <v>14</v>
      </c>
      <c r="C9" s="123">
        <v>26445.45</v>
      </c>
      <c r="D9" s="123">
        <v>26281.61</v>
      </c>
      <c r="E9" s="123">
        <v>26274.13</v>
      </c>
      <c r="F9" s="120">
        <f t="shared" si="0"/>
        <v>6.2340168657857298E-3</v>
      </c>
      <c r="G9" s="120">
        <f t="shared" si="1"/>
        <v>6.5204823147331226E-3</v>
      </c>
      <c r="H9" s="117" t="str">
        <f t="shared" si="2"/>
        <v>OK</v>
      </c>
      <c r="I9" s="117" t="str">
        <f t="shared" si="2"/>
        <v>OK</v>
      </c>
    </row>
    <row r="10" spans="2:10" x14ac:dyDescent="0.25">
      <c r="B10" s="116" t="s">
        <v>15</v>
      </c>
      <c r="C10" s="123">
        <v>78154.25</v>
      </c>
      <c r="D10" s="123">
        <v>77569.39</v>
      </c>
      <c r="E10" s="123">
        <v>76015.28</v>
      </c>
      <c r="F10" s="120">
        <f t="shared" si="0"/>
        <v>7.5398298220470394E-3</v>
      </c>
      <c r="G10" s="120">
        <f t="shared" si="1"/>
        <v>2.8138684748645337E-2</v>
      </c>
      <c r="H10" s="117" t="str">
        <f t="shared" si="2"/>
        <v>OK</v>
      </c>
      <c r="I10" s="117" t="str">
        <f t="shared" si="2"/>
        <v>OK</v>
      </c>
    </row>
    <row r="11" spans="2:10" x14ac:dyDescent="0.25">
      <c r="B11" s="116" t="s">
        <v>16</v>
      </c>
      <c r="C11" s="123">
        <v>8714.94</v>
      </c>
      <c r="D11" s="123">
        <v>8338.9699999999993</v>
      </c>
      <c r="E11" s="123">
        <v>8056.38</v>
      </c>
      <c r="F11" s="120">
        <f t="shared" si="0"/>
        <v>4.5085903894605872E-2</v>
      </c>
      <c r="G11" s="120">
        <f t="shared" si="1"/>
        <v>8.1743909795714664E-2</v>
      </c>
      <c r="H11" s="117" t="str">
        <f t="shared" si="2"/>
        <v>OK</v>
      </c>
      <c r="I11" s="117" t="str">
        <f t="shared" si="2"/>
        <v>OK</v>
      </c>
    </row>
    <row r="12" spans="2:10" x14ac:dyDescent="0.25">
      <c r="B12" t="s">
        <v>17</v>
      </c>
      <c r="C12" s="170">
        <v>3934.09</v>
      </c>
      <c r="D12" s="170">
        <v>3996.16</v>
      </c>
      <c r="E12" s="170">
        <v>4225.0200000000004</v>
      </c>
      <c r="F12" s="82">
        <f t="shared" si="0"/>
        <v>-1.5532411114669964E-2</v>
      </c>
      <c r="G12" s="82">
        <f t="shared" si="1"/>
        <v>-6.8858845638600563E-2</v>
      </c>
      <c r="H12" s="67" t="str">
        <f t="shared" si="2"/>
        <v>OK</v>
      </c>
      <c r="I12" s="67" t="str">
        <f t="shared" si="2"/>
        <v>NOK</v>
      </c>
    </row>
    <row r="13" spans="2:10" x14ac:dyDescent="0.25">
      <c r="B13" t="s">
        <v>18</v>
      </c>
      <c r="C13" s="170">
        <v>67215</v>
      </c>
      <c r="D13" s="170">
        <v>68472</v>
      </c>
      <c r="E13" s="170">
        <v>62417.88</v>
      </c>
      <c r="F13" s="82">
        <f t="shared" si="0"/>
        <v>-1.8357868909919417E-2</v>
      </c>
      <c r="G13" s="82">
        <f t="shared" si="1"/>
        <v>7.685490119177385E-2</v>
      </c>
      <c r="H13" s="67" t="str">
        <f t="shared" si="2"/>
        <v>OK</v>
      </c>
      <c r="I13" s="67" t="str">
        <f t="shared" si="2"/>
        <v>OK</v>
      </c>
    </row>
    <row r="14" spans="2:10" x14ac:dyDescent="0.25">
      <c r="B14" s="231" t="s">
        <v>19</v>
      </c>
      <c r="C14" s="232"/>
      <c r="D14" s="232"/>
      <c r="E14" s="232"/>
      <c r="F14" s="232"/>
      <c r="G14" s="232"/>
      <c r="H14" s="232"/>
      <c r="I14" s="232"/>
      <c r="J14" s="232"/>
    </row>
    <row r="16" spans="2:10" x14ac:dyDescent="0.25">
      <c r="B16" s="113" t="s">
        <v>20</v>
      </c>
    </row>
    <row r="17" spans="2:5" x14ac:dyDescent="0.25">
      <c r="B17" s="115" t="s">
        <v>21</v>
      </c>
      <c r="C17" s="115" t="s">
        <v>22</v>
      </c>
      <c r="D17" s="115" t="s">
        <v>23</v>
      </c>
      <c r="E17" s="115" t="s">
        <v>24</v>
      </c>
    </row>
    <row r="18" spans="2:5" x14ac:dyDescent="0.25">
      <c r="B18" s="116" t="s">
        <v>25</v>
      </c>
      <c r="C18" s="118">
        <v>77.92</v>
      </c>
      <c r="D18" s="121">
        <v>120</v>
      </c>
      <c r="E18" s="117" t="str">
        <f>IF(C18="","",IF(C18&lt;D18,"OK","NOK"))</f>
        <v>OK</v>
      </c>
    </row>
    <row r="19" spans="2:5" x14ac:dyDescent="0.25">
      <c r="B19" s="116" t="s">
        <v>26</v>
      </c>
      <c r="C19" s="118">
        <v>15.28</v>
      </c>
      <c r="D19" s="121">
        <v>25</v>
      </c>
      <c r="E19" s="117" t="str">
        <f>IF(C19="","",IF(C19&lt;D19,"OK","NOK"))</f>
        <v>OK</v>
      </c>
    </row>
    <row r="20" spans="2:5" x14ac:dyDescent="0.25">
      <c r="B20" s="116" t="s">
        <v>27</v>
      </c>
      <c r="C20" s="118">
        <v>26.4</v>
      </c>
      <c r="D20" s="121">
        <v>30</v>
      </c>
      <c r="E20" s="117" t="str">
        <f>IF(C20="","",IF(C20&lt;D20,"OK","NOK"))</f>
        <v>OK</v>
      </c>
    </row>
    <row r="21" spans="2:5" x14ac:dyDescent="0.25">
      <c r="B21" s="116" t="s">
        <v>28</v>
      </c>
      <c r="C21" s="119">
        <v>4.684E-2</v>
      </c>
      <c r="D21" s="116"/>
      <c r="E21" s="116"/>
    </row>
    <row r="22" spans="2:5" x14ac:dyDescent="0.25">
      <c r="B22" s="116" t="s">
        <v>29</v>
      </c>
      <c r="C22" s="119">
        <v>4.2180000000000002E-2</v>
      </c>
      <c r="D22" s="116"/>
      <c r="E22" s="116"/>
    </row>
    <row r="23" spans="2:5" x14ac:dyDescent="0.25">
      <c r="B23" s="116" t="s">
        <v>30</v>
      </c>
      <c r="C23" s="119">
        <f>IF(OR(C21="",C22=""),"",C21-C22)</f>
        <v>4.6599999999999975E-3</v>
      </c>
      <c r="D23" s="122">
        <v>1E-3</v>
      </c>
      <c r="E23" s="117" t="str">
        <f>IF(C23="","",IF(C23&gt;D23,"OK","NOK"))</f>
        <v>OK</v>
      </c>
    </row>
    <row r="24" spans="2:5" x14ac:dyDescent="0.25">
      <c r="B24" t="s">
        <v>31</v>
      </c>
      <c r="C24" s="187">
        <v>1.66</v>
      </c>
      <c r="D24" s="186"/>
      <c r="E24" s="67"/>
    </row>
    <row r="25" spans="2:5" x14ac:dyDescent="0.25">
      <c r="B25" t="s">
        <v>32</v>
      </c>
      <c r="C25" s="187">
        <v>1.8</v>
      </c>
      <c r="D25" s="186"/>
      <c r="E25" s="67"/>
    </row>
    <row r="26" spans="2:5" x14ac:dyDescent="0.25">
      <c r="B26" t="s">
        <v>33</v>
      </c>
      <c r="C26" s="188">
        <f>IF(OR(C24="",C25=""),"",C24-C25)</f>
        <v>-0.14000000000000012</v>
      </c>
      <c r="D26" s="189">
        <v>0.5</v>
      </c>
      <c r="E26" s="67" t="str">
        <f>IF(C26="","",IF(C26&gt;=D26,"NOK","OK"))</f>
        <v>OK</v>
      </c>
    </row>
    <row r="28" spans="2:5" x14ac:dyDescent="0.25">
      <c r="B28" s="113" t="s">
        <v>34</v>
      </c>
    </row>
    <row r="29" spans="2:5" x14ac:dyDescent="0.25">
      <c r="B29" s="167" t="s">
        <v>35</v>
      </c>
      <c r="C29" s="67">
        <f>COUNTIF(H8:I13,"OK")</f>
        <v>11</v>
      </c>
      <c r="D29" s="67">
        <f>COUNTIF(H8:I13,"NOK")</f>
        <v>1</v>
      </c>
      <c r="E29" s="67">
        <f>COUNTIF(H8:I13,"")</f>
        <v>0</v>
      </c>
    </row>
    <row r="30" spans="2:5" x14ac:dyDescent="0.25">
      <c r="B30" s="167" t="s">
        <v>36</v>
      </c>
      <c r="C30" s="67">
        <f>COUNTIF(E18,"OK")+COUNTIF(E19,"OK")+COUNTIF(E20,"OK")+COUNTIF(E23,"OK")+COUNTIF(E26,"OK")</f>
        <v>5</v>
      </c>
      <c r="D30" s="67">
        <f>COUNTIF(E18,"NOK")+COUNTIF(E19,"NOK")+COUNTIF(E20,"NOK")+COUNTIF(E23,"NOK")+COUNTIF(E26,"NOK")</f>
        <v>0</v>
      </c>
      <c r="E30" s="67">
        <f>COUNTIF(E18,"")+COUNTIF(E19,"")+COUNTIF(E20,"")+COUNTIF(E23,"")+COUNTIF(E26,"")</f>
        <v>0</v>
      </c>
    </row>
    <row r="32" spans="2:5" ht="13.8" customHeight="1" x14ac:dyDescent="0.3">
      <c r="B32" s="167" t="s">
        <v>37</v>
      </c>
      <c r="C32" s="168">
        <v>3</v>
      </c>
      <c r="D32" t="s">
        <v>38</v>
      </c>
    </row>
    <row r="33" spans="2:10" ht="21" customHeight="1" x14ac:dyDescent="0.4">
      <c r="B33" s="169" t="s">
        <v>39</v>
      </c>
      <c r="D33" s="235" t="str">
        <f>IF(OR(E29&gt;0,E30&gt;0),"INCOMPLET",IF(D30&gt;0,"NOGO",IF(D29&gt;C32,"NOGO","GO")))</f>
        <v>GO</v>
      </c>
      <c r="E33" s="236"/>
    </row>
    <row r="34" spans="2:10" x14ac:dyDescent="0.25">
      <c r="B34" s="190" t="s">
        <v>40</v>
      </c>
    </row>
    <row r="35" spans="2:10" x14ac:dyDescent="0.25">
      <c r="B35" t="s">
        <v>41</v>
      </c>
      <c r="C35" s="191">
        <v>0</v>
      </c>
      <c r="D35" s="190" t="str">
        <f>IF(C35=1,"🟡 VIGILANCE -- inversion recente","OK -- pas d'inversion recente")</f>
        <v>OK -- pas d'inversion recente</v>
      </c>
    </row>
    <row r="39" spans="2:10" x14ac:dyDescent="0.25">
      <c r="B39" s="233" t="s">
        <v>42</v>
      </c>
      <c r="C39" s="232"/>
      <c r="D39" s="232"/>
      <c r="E39" s="232"/>
      <c r="F39" s="232"/>
      <c r="G39" s="232"/>
      <c r="H39" s="232"/>
      <c r="I39" s="232"/>
      <c r="J39" s="232"/>
    </row>
    <row r="41" spans="2:10" x14ac:dyDescent="0.25">
      <c r="B41" s="233" t="s">
        <v>43</v>
      </c>
      <c r="C41" s="232"/>
      <c r="D41" s="232"/>
      <c r="E41" s="232"/>
      <c r="F41" s="232"/>
      <c r="G41" s="232"/>
      <c r="H41" s="232"/>
      <c r="I41" s="232"/>
      <c r="J41" s="232"/>
    </row>
    <row r="43" spans="2:10" x14ac:dyDescent="0.25">
      <c r="B43" s="233" t="s">
        <v>44</v>
      </c>
      <c r="C43" s="232"/>
      <c r="D43" s="232"/>
      <c r="E43" s="232"/>
      <c r="F43" s="232"/>
      <c r="G43" s="232"/>
      <c r="H43" s="232"/>
      <c r="I43" s="232"/>
      <c r="J43" s="232"/>
    </row>
    <row r="45" spans="2:10" ht="13.2" customHeight="1" x14ac:dyDescent="0.25">
      <c r="B45" s="55" t="s">
        <v>45</v>
      </c>
      <c r="C45" s="167"/>
      <c r="D45" s="167"/>
      <c r="E45" s="167"/>
      <c r="F45" s="167"/>
      <c r="G45" s="167"/>
      <c r="H45" s="167"/>
      <c r="I45" s="167"/>
      <c r="J45" s="167"/>
    </row>
    <row r="46" spans="2:10" ht="13.2" customHeight="1" x14ac:dyDescent="0.25">
      <c r="B46" s="55" t="s">
        <v>46</v>
      </c>
      <c r="C46" s="167"/>
      <c r="D46" s="167"/>
      <c r="E46" s="167"/>
      <c r="F46" s="167"/>
      <c r="G46" s="167"/>
      <c r="H46" s="167"/>
      <c r="I46" s="167"/>
      <c r="J46" s="167"/>
    </row>
    <row r="47" spans="2:10" ht="13.2" customHeight="1" x14ac:dyDescent="0.25">
      <c r="B47" s="167"/>
      <c r="C47" s="167"/>
      <c r="D47" s="167"/>
      <c r="E47" s="167"/>
      <c r="F47" s="167"/>
      <c r="G47" s="167"/>
      <c r="H47" s="167"/>
      <c r="I47" s="167"/>
      <c r="J47" s="167"/>
    </row>
    <row r="49" spans="2:10" x14ac:dyDescent="0.25">
      <c r="B49" s="175" t="s">
        <v>47</v>
      </c>
    </row>
    <row r="50" spans="2:10" x14ac:dyDescent="0.25">
      <c r="B50" s="176" t="s">
        <v>48</v>
      </c>
      <c r="C50" s="176" t="s">
        <v>49</v>
      </c>
      <c r="D50" s="176" t="s">
        <v>50</v>
      </c>
      <c r="E50" s="176" t="s">
        <v>51</v>
      </c>
      <c r="F50" s="176" t="s">
        <v>52</v>
      </c>
      <c r="G50" s="176" t="s">
        <v>53</v>
      </c>
    </row>
    <row r="51" spans="2:10" x14ac:dyDescent="0.25">
      <c r="B51" s="177" t="s">
        <v>54</v>
      </c>
      <c r="C51" s="178">
        <v>12</v>
      </c>
      <c r="D51" s="178">
        <v>18</v>
      </c>
      <c r="E51" s="179">
        <v>0.89800000000000002</v>
      </c>
      <c r="F51" s="179">
        <v>1</v>
      </c>
      <c r="G51" s="180">
        <v>0.95</v>
      </c>
    </row>
    <row r="52" spans="2:10" x14ac:dyDescent="0.25">
      <c r="B52" s="177" t="s">
        <v>55</v>
      </c>
      <c r="C52" s="178">
        <v>8</v>
      </c>
      <c r="D52" s="178">
        <v>12</v>
      </c>
      <c r="E52" s="179">
        <v>0.79600000000000004</v>
      </c>
      <c r="F52" s="179">
        <v>1</v>
      </c>
      <c r="G52" s="180">
        <v>0.89</v>
      </c>
    </row>
    <row r="53" spans="2:10" x14ac:dyDescent="0.25">
      <c r="B53" s="181" t="s">
        <v>56</v>
      </c>
      <c r="C53" s="182">
        <v>6</v>
      </c>
      <c r="D53" s="182">
        <v>12</v>
      </c>
      <c r="E53" s="183">
        <v>0.83699999999999997</v>
      </c>
      <c r="F53" s="183">
        <v>0.91100000000000003</v>
      </c>
      <c r="G53" s="184">
        <v>0.87</v>
      </c>
    </row>
    <row r="54" spans="2:10" x14ac:dyDescent="0.25">
      <c r="B54" s="177" t="s">
        <v>57</v>
      </c>
      <c r="C54" s="178">
        <v>4</v>
      </c>
      <c r="D54" s="178">
        <v>8</v>
      </c>
      <c r="E54" s="179">
        <v>0.77600000000000002</v>
      </c>
      <c r="F54" s="179">
        <v>0.84399999999999997</v>
      </c>
      <c r="G54" s="180">
        <v>0.81</v>
      </c>
    </row>
    <row r="55" spans="2:10" x14ac:dyDescent="0.25">
      <c r="B55" s="177" t="s">
        <v>58</v>
      </c>
      <c r="C55" s="178">
        <v>3</v>
      </c>
      <c r="D55" s="178">
        <v>6</v>
      </c>
      <c r="E55" s="179">
        <v>0.77600000000000002</v>
      </c>
      <c r="F55" s="179">
        <v>0.86399999999999999</v>
      </c>
      <c r="G55" s="180">
        <v>0.82</v>
      </c>
    </row>
    <row r="57" spans="2:10" x14ac:dyDescent="0.25">
      <c r="B57" s="233" t="s">
        <v>59</v>
      </c>
      <c r="C57" s="232"/>
      <c r="D57" s="232"/>
      <c r="E57" s="232"/>
      <c r="F57" s="232"/>
      <c r="G57" s="232"/>
      <c r="H57" s="232"/>
      <c r="I57" s="232"/>
      <c r="J57" s="232"/>
    </row>
    <row r="59" spans="2:10" x14ac:dyDescent="0.25">
      <c r="B59" s="233" t="s">
        <v>60</v>
      </c>
      <c r="C59" s="232"/>
      <c r="D59" s="232"/>
      <c r="E59" s="232"/>
      <c r="F59" s="232"/>
      <c r="G59" s="232"/>
      <c r="H59" s="232"/>
      <c r="I59" s="232"/>
      <c r="J59" s="232"/>
    </row>
    <row r="61" spans="2:10" x14ac:dyDescent="0.25">
      <c r="B61" s="190" t="s">
        <v>61</v>
      </c>
    </row>
    <row r="62" spans="2:10" x14ac:dyDescent="0.25">
      <c r="B62" s="234" t="s">
        <v>62</v>
      </c>
      <c r="C62" s="232"/>
      <c r="D62" s="232"/>
      <c r="E62" s="232"/>
      <c r="F62" s="232"/>
      <c r="G62" s="232"/>
      <c r="H62" s="232"/>
      <c r="I62" s="232"/>
      <c r="J62" s="232"/>
    </row>
    <row r="64" spans="2:10" x14ac:dyDescent="0.25">
      <c r="B64" s="234" t="s">
        <v>63</v>
      </c>
      <c r="C64" s="232"/>
      <c r="D64" s="232"/>
      <c r="E64" s="232"/>
      <c r="F64" s="232"/>
      <c r="G64" s="232"/>
      <c r="H64" s="232"/>
      <c r="I64" s="232"/>
      <c r="J64" s="232"/>
    </row>
    <row r="66" spans="2:10" x14ac:dyDescent="0.25">
      <c r="B66" s="234" t="s">
        <v>64</v>
      </c>
      <c r="C66" s="232"/>
      <c r="D66" s="232"/>
      <c r="E66" s="232"/>
      <c r="F66" s="232"/>
      <c r="G66" s="232"/>
      <c r="H66" s="232"/>
      <c r="I66" s="232"/>
      <c r="J66" s="232"/>
    </row>
    <row r="69" spans="2:10" x14ac:dyDescent="0.25">
      <c r="B69" s="234" t="s">
        <v>65</v>
      </c>
      <c r="C69" s="232"/>
      <c r="D69" s="232"/>
      <c r="E69" s="232"/>
      <c r="F69" s="232"/>
      <c r="G69" s="232"/>
      <c r="H69" s="232"/>
      <c r="I69" s="232"/>
      <c r="J69" s="232"/>
    </row>
  </sheetData>
  <mergeCells count="12">
    <mergeCell ref="B2:J2"/>
    <mergeCell ref="B43:J43"/>
    <mergeCell ref="B39:J39"/>
    <mergeCell ref="B69:J69"/>
    <mergeCell ref="B62:J62"/>
    <mergeCell ref="B64:J64"/>
    <mergeCell ref="B59:J59"/>
    <mergeCell ref="D33:E33"/>
    <mergeCell ref="B66:J66"/>
    <mergeCell ref="B14:J14"/>
    <mergeCell ref="B41:J41"/>
    <mergeCell ref="B57:J57"/>
  </mergeCells>
  <conditionalFormatting sqref="D33">
    <cfRule type="expression" dxfId="3" priority="1">
      <formula>$D$33="GO"</formula>
    </cfRule>
    <cfRule type="expression" dxfId="2" priority="2">
      <formula>$D$33="NOGO"</formula>
    </cfRule>
    <cfRule type="expression" dxfId="1" priority="3">
      <formula>$D$33="INCOMPLET"</formula>
    </cfRule>
  </conditionalFormatting>
  <conditionalFormatting sqref="D35">
    <cfRule type="expression" dxfId="0" priority="4">
      <formula>$C$35=1</formula>
    </cfRule>
  </conditionalFormatting>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43"/>
  <sheetViews>
    <sheetView topLeftCell="A17" workbookViewId="0">
      <selection sqref="A1:XFD41"/>
    </sheetView>
  </sheetViews>
  <sheetFormatPr defaultRowHeight="13.2" x14ac:dyDescent="0.25"/>
  <cols>
    <col min="2" max="2" width="52.109375" customWidth="1"/>
    <col min="3" max="3" width="49.33203125" customWidth="1"/>
  </cols>
  <sheetData>
    <row r="1" spans="2:10" ht="17.399999999999999" customHeight="1" x14ac:dyDescent="0.3">
      <c r="B1" s="196" t="s">
        <v>182</v>
      </c>
    </row>
    <row r="2" spans="2:10" x14ac:dyDescent="0.25">
      <c r="B2" s="255" t="s">
        <v>183</v>
      </c>
      <c r="C2" s="232"/>
      <c r="D2" s="232"/>
      <c r="E2" s="232"/>
      <c r="F2" s="232"/>
      <c r="G2" s="232"/>
      <c r="H2" s="232"/>
      <c r="I2" s="232"/>
      <c r="J2" s="232"/>
    </row>
    <row r="4" spans="2:10" ht="15.6" customHeight="1" x14ac:dyDescent="0.3">
      <c r="B4" s="197" t="s">
        <v>184</v>
      </c>
    </row>
    <row r="5" spans="2:10" x14ac:dyDescent="0.25">
      <c r="B5" s="255" t="s">
        <v>185</v>
      </c>
      <c r="C5" s="232"/>
      <c r="D5" s="232"/>
      <c r="E5" s="232"/>
      <c r="F5" s="232"/>
      <c r="G5" s="232"/>
      <c r="H5" s="232"/>
      <c r="I5" s="232"/>
      <c r="J5" s="232"/>
    </row>
    <row r="7" spans="2:10" ht="15.6" customHeight="1" x14ac:dyDescent="0.3">
      <c r="B7" s="197" t="s">
        <v>186</v>
      </c>
    </row>
    <row r="8" spans="2:10" x14ac:dyDescent="0.25">
      <c r="B8" s="198" t="s">
        <v>187</v>
      </c>
      <c r="C8" s="198" t="s">
        <v>188</v>
      </c>
    </row>
    <row r="9" spans="2:10" x14ac:dyDescent="0.25">
      <c r="B9" s="199" t="s">
        <v>189</v>
      </c>
      <c r="C9" s="199" t="s">
        <v>190</v>
      </c>
    </row>
    <row r="10" spans="2:10" ht="26.4" customHeight="1" x14ac:dyDescent="0.25">
      <c r="B10" s="199" t="s">
        <v>191</v>
      </c>
      <c r="C10" s="199" t="s">
        <v>192</v>
      </c>
    </row>
    <row r="11" spans="2:10" x14ac:dyDescent="0.25">
      <c r="B11" s="199" t="s">
        <v>193</v>
      </c>
      <c r="C11" s="199" t="s">
        <v>194</v>
      </c>
    </row>
    <row r="12" spans="2:10" x14ac:dyDescent="0.25">
      <c r="B12" s="199" t="s">
        <v>195</v>
      </c>
      <c r="C12" s="199" t="s">
        <v>196</v>
      </c>
    </row>
    <row r="13" spans="2:10" x14ac:dyDescent="0.25">
      <c r="B13" s="199" t="s">
        <v>197</v>
      </c>
      <c r="C13" s="199" t="s">
        <v>198</v>
      </c>
    </row>
    <row r="14" spans="2:10" x14ac:dyDescent="0.25">
      <c r="B14" s="199" t="s">
        <v>199</v>
      </c>
      <c r="C14" s="199" t="s">
        <v>200</v>
      </c>
    </row>
    <row r="15" spans="2:10" x14ac:dyDescent="0.25">
      <c r="B15" s="199" t="s">
        <v>201</v>
      </c>
      <c r="C15" s="199" t="s">
        <v>202</v>
      </c>
    </row>
    <row r="16" spans="2:10" x14ac:dyDescent="0.25">
      <c r="B16" s="199" t="s">
        <v>203</v>
      </c>
      <c r="C16" s="199" t="s">
        <v>204</v>
      </c>
    </row>
    <row r="17" spans="2:10" x14ac:dyDescent="0.25">
      <c r="B17" s="199" t="s">
        <v>205</v>
      </c>
      <c r="C17" s="199" t="s">
        <v>206</v>
      </c>
    </row>
    <row r="18" spans="2:10" x14ac:dyDescent="0.25">
      <c r="B18" s="199" t="s">
        <v>207</v>
      </c>
      <c r="C18" s="199" t="s">
        <v>208</v>
      </c>
    </row>
    <row r="19" spans="2:10" x14ac:dyDescent="0.25">
      <c r="B19" s="199" t="s">
        <v>209</v>
      </c>
      <c r="C19" s="199" t="s">
        <v>210</v>
      </c>
    </row>
    <row r="20" spans="2:10" x14ac:dyDescent="0.25">
      <c r="B20" s="199" t="s">
        <v>211</v>
      </c>
      <c r="C20" s="199" t="s">
        <v>212</v>
      </c>
    </row>
    <row r="21" spans="2:10" x14ac:dyDescent="0.25">
      <c r="B21" s="199" t="s">
        <v>213</v>
      </c>
      <c r="C21" s="199" t="s">
        <v>214</v>
      </c>
    </row>
    <row r="22" spans="2:10" x14ac:dyDescent="0.25">
      <c r="B22" s="199" t="s">
        <v>215</v>
      </c>
      <c r="C22" s="199" t="s">
        <v>216</v>
      </c>
    </row>
    <row r="23" spans="2:10" x14ac:dyDescent="0.25">
      <c r="B23" s="199" t="s">
        <v>217</v>
      </c>
      <c r="C23" s="199" t="s">
        <v>218</v>
      </c>
    </row>
    <row r="25" spans="2:10" ht="15.6" customHeight="1" x14ac:dyDescent="0.3">
      <c r="B25" s="197" t="s">
        <v>219</v>
      </c>
    </row>
    <row r="26" spans="2:10" ht="26.4" customHeight="1" x14ac:dyDescent="0.25">
      <c r="B26" s="198" t="s">
        <v>220</v>
      </c>
      <c r="C26" s="198" t="s">
        <v>221</v>
      </c>
      <c r="D26" s="198" t="s">
        <v>222</v>
      </c>
      <c r="E26" s="198" t="s">
        <v>223</v>
      </c>
      <c r="F26" s="198" t="s">
        <v>51</v>
      </c>
      <c r="G26" s="198" t="s">
        <v>52</v>
      </c>
      <c r="H26" s="198" t="s">
        <v>53</v>
      </c>
    </row>
    <row r="27" spans="2:10" x14ac:dyDescent="0.25">
      <c r="B27" s="200" t="s">
        <v>224</v>
      </c>
      <c r="C27" s="201">
        <v>66</v>
      </c>
      <c r="D27" s="201">
        <v>3</v>
      </c>
      <c r="E27" s="201">
        <v>18</v>
      </c>
      <c r="F27" s="202">
        <v>0.78600000000000003</v>
      </c>
      <c r="G27" s="202">
        <v>0.95699999999999996</v>
      </c>
      <c r="H27" s="203">
        <v>0.86299999999999999</v>
      </c>
    </row>
    <row r="28" spans="2:10" x14ac:dyDescent="0.25">
      <c r="B28" s="199" t="s">
        <v>225</v>
      </c>
      <c r="C28" s="204">
        <v>60</v>
      </c>
      <c r="D28" s="204">
        <v>3</v>
      </c>
      <c r="E28" s="204">
        <v>24</v>
      </c>
      <c r="F28" s="205">
        <v>0.71399999999999997</v>
      </c>
      <c r="G28" s="205">
        <v>0.95199999999999996</v>
      </c>
      <c r="H28" s="206">
        <v>0.81599999999999995</v>
      </c>
    </row>
    <row r="29" spans="2:10" ht="26.4" customHeight="1" x14ac:dyDescent="0.25">
      <c r="B29" s="199" t="s">
        <v>226</v>
      </c>
      <c r="C29" s="204">
        <v>71</v>
      </c>
      <c r="D29" s="204">
        <v>13</v>
      </c>
      <c r="E29" s="204">
        <v>13</v>
      </c>
      <c r="F29" s="205">
        <v>0.84499999999999997</v>
      </c>
      <c r="G29" s="205">
        <v>0.84499999999999997</v>
      </c>
      <c r="H29" s="206">
        <v>0.84499999999999997</v>
      </c>
    </row>
    <row r="31" spans="2:10" x14ac:dyDescent="0.25">
      <c r="B31" s="255" t="s">
        <v>227</v>
      </c>
      <c r="C31" s="232"/>
      <c r="D31" s="232"/>
      <c r="E31" s="232"/>
      <c r="F31" s="232"/>
      <c r="G31" s="232"/>
      <c r="H31" s="232"/>
      <c r="I31" s="232"/>
      <c r="J31" s="232"/>
    </row>
    <row r="33" spans="2:10" ht="15.6" customHeight="1" x14ac:dyDescent="0.3">
      <c r="B33" s="197" t="s">
        <v>228</v>
      </c>
    </row>
    <row r="34" spans="2:10" x14ac:dyDescent="0.25">
      <c r="B34" s="255" t="s">
        <v>229</v>
      </c>
      <c r="C34" s="232"/>
      <c r="D34" s="232"/>
      <c r="E34" s="232"/>
      <c r="F34" s="232"/>
      <c r="G34" s="232"/>
      <c r="H34" s="232"/>
      <c r="I34" s="232"/>
      <c r="J34" s="232"/>
    </row>
    <row r="36" spans="2:10" ht="15.6" customHeight="1" x14ac:dyDescent="0.3">
      <c r="B36" s="197" t="s">
        <v>230</v>
      </c>
    </row>
    <row r="37" spans="2:10" x14ac:dyDescent="0.25">
      <c r="B37" s="255" t="s">
        <v>231</v>
      </c>
      <c r="C37" s="232"/>
      <c r="D37" s="232"/>
      <c r="E37" s="232"/>
      <c r="F37" s="232"/>
      <c r="G37" s="232"/>
      <c r="H37" s="232"/>
      <c r="I37" s="232"/>
      <c r="J37" s="232"/>
    </row>
    <row r="39" spans="2:10" ht="15.6" customHeight="1" x14ac:dyDescent="0.3">
      <c r="B39" s="197" t="s">
        <v>232</v>
      </c>
    </row>
    <row r="40" spans="2:10" x14ac:dyDescent="0.25">
      <c r="B40" s="255" t="s">
        <v>233</v>
      </c>
      <c r="C40" s="232"/>
      <c r="D40" s="232"/>
      <c r="E40" s="232"/>
      <c r="F40" s="232"/>
      <c r="G40" s="232"/>
      <c r="H40" s="232"/>
      <c r="I40" s="232"/>
      <c r="J40" s="232"/>
    </row>
    <row r="42" spans="2:10" ht="15.6" customHeight="1" x14ac:dyDescent="0.3">
      <c r="B42" s="197" t="s">
        <v>234</v>
      </c>
    </row>
    <row r="43" spans="2:10" x14ac:dyDescent="0.25">
      <c r="B43" s="255" t="s">
        <v>235</v>
      </c>
      <c r="C43" s="232"/>
      <c r="D43" s="232"/>
      <c r="E43" s="232"/>
      <c r="F43" s="232"/>
      <c r="G43" s="232"/>
      <c r="H43" s="232"/>
      <c r="I43" s="232"/>
      <c r="J43" s="232"/>
    </row>
  </sheetData>
  <mergeCells count="7">
    <mergeCell ref="B43:J43"/>
    <mergeCell ref="B2:J2"/>
    <mergeCell ref="B5:J5"/>
    <mergeCell ref="B37:J37"/>
    <mergeCell ref="B34:J34"/>
    <mergeCell ref="B31:J31"/>
    <mergeCell ref="B40:J40"/>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H40"/>
  <sheetViews>
    <sheetView workbookViewId="0">
      <pane xSplit="1" ySplit="6" topLeftCell="B7" activePane="bottomRight" state="frozen"/>
      <selection pane="topRight"/>
      <selection pane="bottomLeft"/>
      <selection pane="bottomRight"/>
    </sheetView>
  </sheetViews>
  <sheetFormatPr defaultRowHeight="13.2" x14ac:dyDescent="0.25"/>
  <cols>
    <col min="1" max="1" width="3" customWidth="1"/>
    <col min="2" max="2" width="22" customWidth="1"/>
    <col min="3" max="3" width="34" customWidth="1"/>
    <col min="4" max="4" width="16" customWidth="1"/>
    <col min="5" max="5" width="24" customWidth="1"/>
    <col min="6" max="6" width="16" customWidth="1"/>
    <col min="7" max="7" width="15" customWidth="1"/>
    <col min="8" max="8" width="48" customWidth="1"/>
  </cols>
  <sheetData>
    <row r="1" spans="2:8" ht="16.8" x14ac:dyDescent="0.3">
      <c r="B1" s="209" t="s">
        <v>236</v>
      </c>
    </row>
    <row r="2" spans="2:8" ht="60" customHeight="1" x14ac:dyDescent="0.25">
      <c r="B2" s="256" t="s">
        <v>237</v>
      </c>
      <c r="C2" s="232"/>
      <c r="D2" s="232"/>
      <c r="E2" s="232"/>
      <c r="F2" s="232"/>
      <c r="G2" s="232"/>
      <c r="H2" s="232"/>
    </row>
    <row r="4" spans="2:8" x14ac:dyDescent="0.25">
      <c r="B4" s="210" t="s">
        <v>238</v>
      </c>
      <c r="D4" s="211">
        <v>46265</v>
      </c>
    </row>
    <row r="6" spans="2:8" ht="13.8" x14ac:dyDescent="0.25">
      <c r="B6" s="212" t="s">
        <v>239</v>
      </c>
    </row>
    <row r="7" spans="2:8" ht="26.4" x14ac:dyDescent="0.25">
      <c r="B7" s="213" t="s">
        <v>240</v>
      </c>
      <c r="C7" s="213" t="s">
        <v>241</v>
      </c>
      <c r="D7" s="213" t="s">
        <v>22</v>
      </c>
      <c r="E7" s="213" t="s">
        <v>52</v>
      </c>
      <c r="F7" s="213" t="s">
        <v>242</v>
      </c>
      <c r="G7" s="213" t="s">
        <v>243</v>
      </c>
      <c r="H7" s="213" t="s">
        <v>244</v>
      </c>
    </row>
    <row r="8" spans="2:8" x14ac:dyDescent="0.25">
      <c r="B8" s="214" t="s">
        <v>245</v>
      </c>
      <c r="C8" s="214" t="s">
        <v>246</v>
      </c>
      <c r="D8" s="215">
        <v>7.79</v>
      </c>
      <c r="E8" s="216" t="s">
        <v>247</v>
      </c>
      <c r="F8" s="217"/>
      <c r="G8" s="218" t="str">
        <f>IF(F8="","",IF(D8&gt;F8,"+",IF(D8&lt;F8,"-","=")))</f>
        <v/>
      </c>
      <c r="H8" s="219"/>
    </row>
    <row r="9" spans="2:8" x14ac:dyDescent="0.25">
      <c r="B9" s="214" t="s">
        <v>245</v>
      </c>
      <c r="C9" s="214" t="s">
        <v>248</v>
      </c>
      <c r="D9" s="215">
        <v>110.6</v>
      </c>
      <c r="E9" s="216" t="s">
        <v>247</v>
      </c>
      <c r="F9" s="217"/>
      <c r="G9" s="218" t="str">
        <f>IF(F9="","",IF(D9&gt;F9,"+",IF(D9&lt;F9,"-","=")))</f>
        <v/>
      </c>
      <c r="H9" s="219"/>
    </row>
    <row r="10" spans="2:8" x14ac:dyDescent="0.25">
      <c r="B10" s="214" t="s">
        <v>245</v>
      </c>
      <c r="C10" s="214" t="s">
        <v>249</v>
      </c>
      <c r="D10" s="215">
        <v>1.1599999999999999</v>
      </c>
      <c r="E10" s="216" t="s">
        <v>247</v>
      </c>
      <c r="F10" s="217"/>
      <c r="G10" s="218" t="str">
        <f>IF(F10="","",IF(D10&gt;F10,"+",IF(D10&lt;F10,"-","=")))</f>
        <v/>
      </c>
      <c r="H10" s="219"/>
    </row>
    <row r="11" spans="2:8" x14ac:dyDescent="0.25">
      <c r="B11" s="214" t="s">
        <v>245</v>
      </c>
      <c r="C11" s="214" t="s">
        <v>250</v>
      </c>
      <c r="D11" s="215">
        <v>0.85599999999999998</v>
      </c>
      <c r="E11" s="216" t="s">
        <v>247</v>
      </c>
      <c r="F11" s="217"/>
      <c r="G11" s="218" t="str">
        <f>IF(F11="","",IF(D11&gt;F11,"+",IF(D11&lt;F11,"-","=")))</f>
        <v/>
      </c>
      <c r="H11" s="219"/>
    </row>
    <row r="13" spans="2:8" ht="13.8" x14ac:dyDescent="0.25">
      <c r="B13" s="212" t="s">
        <v>251</v>
      </c>
    </row>
    <row r="14" spans="2:8" ht="26.4" x14ac:dyDescent="0.25">
      <c r="B14" s="213" t="s">
        <v>240</v>
      </c>
      <c r="C14" s="213" t="s">
        <v>241</v>
      </c>
      <c r="D14" s="213" t="s">
        <v>22</v>
      </c>
      <c r="E14" s="213" t="s">
        <v>52</v>
      </c>
      <c r="F14" s="213" t="s">
        <v>242</v>
      </c>
      <c r="G14" s="213" t="s">
        <v>243</v>
      </c>
      <c r="H14" s="213" t="s">
        <v>244</v>
      </c>
    </row>
    <row r="15" spans="2:8" x14ac:dyDescent="0.25">
      <c r="B15" s="214" t="s">
        <v>252</v>
      </c>
      <c r="C15" s="214" t="s">
        <v>253</v>
      </c>
      <c r="D15" s="220">
        <v>4984</v>
      </c>
      <c r="E15" s="216" t="s">
        <v>247</v>
      </c>
      <c r="F15" s="221"/>
      <c r="G15" s="218" t="str">
        <f t="shared" ref="G15:G27" si="0">IF(F15="","",IF(D15&gt;F15,"+",IF(D15&lt;F15,"-","=")))</f>
        <v/>
      </c>
      <c r="H15" s="219"/>
    </row>
    <row r="16" spans="2:8" x14ac:dyDescent="0.25">
      <c r="B16" s="214" t="s">
        <v>252</v>
      </c>
      <c r="C16" s="214" t="s">
        <v>254</v>
      </c>
      <c r="D16" s="220">
        <v>1706</v>
      </c>
      <c r="E16" s="216" t="s">
        <v>247</v>
      </c>
      <c r="F16" s="221"/>
      <c r="G16" s="218" t="str">
        <f t="shared" si="0"/>
        <v/>
      </c>
      <c r="H16" s="219"/>
    </row>
    <row r="17" spans="2:8" x14ac:dyDescent="0.25">
      <c r="B17" s="214" t="s">
        <v>252</v>
      </c>
      <c r="C17" s="214" t="s">
        <v>255</v>
      </c>
      <c r="D17" s="220">
        <v>53559.99</v>
      </c>
      <c r="E17" s="216" t="s">
        <v>256</v>
      </c>
      <c r="F17" s="221"/>
      <c r="G17" s="218" t="str">
        <f t="shared" si="0"/>
        <v/>
      </c>
      <c r="H17" s="219"/>
    </row>
    <row r="18" spans="2:8" x14ac:dyDescent="0.25">
      <c r="B18" s="214" t="s">
        <v>252</v>
      </c>
      <c r="C18" s="214" t="s">
        <v>257</v>
      </c>
      <c r="D18" s="220">
        <v>26402.42</v>
      </c>
      <c r="E18" s="216" t="s">
        <v>256</v>
      </c>
      <c r="F18" s="221"/>
      <c r="G18" s="218" t="str">
        <f t="shared" si="0"/>
        <v/>
      </c>
      <c r="H18" s="219"/>
    </row>
    <row r="19" spans="2:8" x14ac:dyDescent="0.25">
      <c r="B19" s="214" t="s">
        <v>252</v>
      </c>
      <c r="C19" s="214" t="s">
        <v>258</v>
      </c>
      <c r="D19" s="220">
        <v>3952</v>
      </c>
      <c r="E19" s="216" t="s">
        <v>247</v>
      </c>
      <c r="F19" s="221"/>
      <c r="G19" s="218" t="str">
        <f t="shared" si="0"/>
        <v/>
      </c>
      <c r="H19" s="219"/>
    </row>
    <row r="20" spans="2:8" x14ac:dyDescent="0.25">
      <c r="B20" s="214" t="s">
        <v>252</v>
      </c>
      <c r="C20" s="214" t="s">
        <v>259</v>
      </c>
      <c r="D20" s="220">
        <v>13953</v>
      </c>
      <c r="E20" s="216" t="s">
        <v>247</v>
      </c>
      <c r="F20" s="221"/>
      <c r="G20" s="218" t="str">
        <f t="shared" si="0"/>
        <v/>
      </c>
      <c r="H20" s="219"/>
    </row>
    <row r="21" spans="2:8" x14ac:dyDescent="0.25">
      <c r="B21" s="214" t="s">
        <v>252</v>
      </c>
      <c r="C21" s="214" t="s">
        <v>260</v>
      </c>
      <c r="D21" s="220">
        <v>25585</v>
      </c>
      <c r="E21" s="216" t="s">
        <v>247</v>
      </c>
      <c r="F21" s="221"/>
      <c r="G21" s="218" t="str">
        <f t="shared" si="0"/>
        <v/>
      </c>
      <c r="H21" s="219"/>
    </row>
    <row r="22" spans="2:8" x14ac:dyDescent="0.25">
      <c r="B22" s="214" t="s">
        <v>252</v>
      </c>
      <c r="C22" s="214" t="s">
        <v>261</v>
      </c>
      <c r="D22" s="220">
        <v>66405.56</v>
      </c>
      <c r="E22" s="216" t="s">
        <v>256</v>
      </c>
      <c r="F22" s="221"/>
      <c r="G22" s="218" t="str">
        <f t="shared" si="0"/>
        <v/>
      </c>
      <c r="H22" s="219"/>
    </row>
    <row r="23" spans="2:8" x14ac:dyDescent="0.25">
      <c r="B23" s="214" t="s">
        <v>252</v>
      </c>
      <c r="C23" s="214" t="s">
        <v>262</v>
      </c>
      <c r="D23" s="220">
        <v>77265</v>
      </c>
      <c r="E23" s="216" t="s">
        <v>247</v>
      </c>
      <c r="F23" s="221"/>
      <c r="G23" s="218" t="str">
        <f t="shared" si="0"/>
        <v/>
      </c>
      <c r="H23" s="219"/>
    </row>
    <row r="24" spans="2:8" x14ac:dyDescent="0.25">
      <c r="B24" s="214" t="s">
        <v>252</v>
      </c>
      <c r="C24" s="214" t="s">
        <v>263</v>
      </c>
      <c r="D24" s="220">
        <v>6689</v>
      </c>
      <c r="E24" s="216" t="s">
        <v>247</v>
      </c>
      <c r="F24" s="221"/>
      <c r="G24" s="218" t="str">
        <f t="shared" si="0"/>
        <v/>
      </c>
      <c r="H24" s="219"/>
    </row>
    <row r="25" spans="2:8" x14ac:dyDescent="0.25">
      <c r="B25" s="214" t="s">
        <v>252</v>
      </c>
      <c r="C25" s="214" t="s">
        <v>264</v>
      </c>
      <c r="D25" s="220">
        <v>6476</v>
      </c>
      <c r="E25" s="216" t="s">
        <v>247</v>
      </c>
      <c r="F25" s="221"/>
      <c r="G25" s="218" t="str">
        <f t="shared" si="0"/>
        <v/>
      </c>
      <c r="H25" s="219"/>
    </row>
    <row r="26" spans="2:8" x14ac:dyDescent="0.25">
      <c r="B26" s="214" t="s">
        <v>252</v>
      </c>
      <c r="C26" s="214" t="s">
        <v>265</v>
      </c>
      <c r="D26" s="220">
        <v>8401.18</v>
      </c>
      <c r="E26" s="216" t="s">
        <v>256</v>
      </c>
      <c r="F26" s="221"/>
      <c r="G26" s="218" t="str">
        <f t="shared" si="0"/>
        <v/>
      </c>
      <c r="H26" s="219"/>
    </row>
    <row r="27" spans="2:8" x14ac:dyDescent="0.25">
      <c r="B27" s="214" t="s">
        <v>252</v>
      </c>
      <c r="C27" s="214" t="s">
        <v>266</v>
      </c>
      <c r="D27" s="220">
        <v>10815</v>
      </c>
      <c r="E27" s="216" t="s">
        <v>247</v>
      </c>
      <c r="F27" s="221"/>
      <c r="G27" s="218" t="str">
        <f t="shared" si="0"/>
        <v/>
      </c>
      <c r="H27" s="219"/>
    </row>
    <row r="29" spans="2:8" ht="13.8" x14ac:dyDescent="0.25">
      <c r="B29" s="212" t="s">
        <v>267</v>
      </c>
    </row>
    <row r="30" spans="2:8" ht="26.4" x14ac:dyDescent="0.25">
      <c r="B30" s="213" t="s">
        <v>240</v>
      </c>
      <c r="C30" s="213" t="s">
        <v>241</v>
      </c>
      <c r="D30" s="213" t="s">
        <v>22</v>
      </c>
      <c r="E30" s="213" t="s">
        <v>52</v>
      </c>
      <c r="F30" s="213" t="s">
        <v>242</v>
      </c>
      <c r="G30" s="213" t="s">
        <v>243</v>
      </c>
      <c r="H30" s="213" t="s">
        <v>244</v>
      </c>
    </row>
    <row r="31" spans="2:8" x14ac:dyDescent="0.25">
      <c r="B31" s="214" t="s">
        <v>268</v>
      </c>
      <c r="C31" s="214" t="s">
        <v>269</v>
      </c>
      <c r="D31" s="222">
        <v>15</v>
      </c>
      <c r="E31" s="216" t="s">
        <v>247</v>
      </c>
      <c r="F31" s="223"/>
      <c r="G31" s="218" t="str">
        <f>IF(F31="","",IF(D31&gt;F31,"+",IF(D31&lt;F31,"-","=")))</f>
        <v/>
      </c>
      <c r="H31" s="219"/>
    </row>
    <row r="32" spans="2:8" x14ac:dyDescent="0.25">
      <c r="B32" s="214" t="s">
        <v>268</v>
      </c>
      <c r="C32" s="214" t="s">
        <v>270</v>
      </c>
      <c r="D32" s="222">
        <v>70</v>
      </c>
      <c r="E32" s="216" t="s">
        <v>247</v>
      </c>
      <c r="F32" s="223"/>
      <c r="G32" s="218" t="str">
        <f>IF(F32="","",IF(D32&gt;F32,"+",IF(D32&lt;F32,"-","=")))</f>
        <v/>
      </c>
      <c r="H32" s="219"/>
    </row>
    <row r="33" spans="2:8" x14ac:dyDescent="0.25">
      <c r="B33" s="214" t="s">
        <v>268</v>
      </c>
      <c r="C33" s="214" t="s">
        <v>271</v>
      </c>
      <c r="D33" s="224">
        <v>0.36</v>
      </c>
      <c r="E33" s="216" t="s">
        <v>247</v>
      </c>
      <c r="F33" s="225"/>
      <c r="G33" s="218" t="str">
        <f>IF(F33="","",IF(D33&gt;F33,"+",IF(D33&lt;F33,"-","=")))</f>
        <v/>
      </c>
      <c r="H33" s="219" t="s">
        <v>272</v>
      </c>
    </row>
    <row r="34" spans="2:8" x14ac:dyDescent="0.25">
      <c r="B34" s="214" t="s">
        <v>268</v>
      </c>
      <c r="C34" s="214" t="s">
        <v>273</v>
      </c>
      <c r="D34" s="224">
        <v>0.89</v>
      </c>
      <c r="E34" s="216" t="s">
        <v>247</v>
      </c>
      <c r="F34" s="225"/>
      <c r="G34" s="218" t="str">
        <f>IF(F34="","",IF(D34&gt;F34,"+",IF(D34&lt;F34,"-","=")))</f>
        <v/>
      </c>
      <c r="H34" s="219" t="s">
        <v>274</v>
      </c>
    </row>
    <row r="36" spans="2:8" ht="13.8" x14ac:dyDescent="0.25">
      <c r="B36" s="212" t="s">
        <v>275</v>
      </c>
    </row>
    <row r="37" spans="2:8" ht="26.4" x14ac:dyDescent="0.25">
      <c r="B37" s="213" t="s">
        <v>240</v>
      </c>
      <c r="C37" s="213" t="s">
        <v>241</v>
      </c>
      <c r="D37" s="213" t="s">
        <v>22</v>
      </c>
      <c r="E37" s="213" t="s">
        <v>52</v>
      </c>
      <c r="F37" s="213" t="s">
        <v>242</v>
      </c>
      <c r="G37" s="213" t="s">
        <v>243</v>
      </c>
      <c r="H37" s="213" t="s">
        <v>244</v>
      </c>
    </row>
    <row r="38" spans="2:8" x14ac:dyDescent="0.25">
      <c r="B38" s="214" t="s">
        <v>276</v>
      </c>
      <c r="C38" s="214" t="s">
        <v>277</v>
      </c>
      <c r="D38" s="226">
        <v>3.4000000000000002E-2</v>
      </c>
      <c r="E38" s="216" t="s">
        <v>278</v>
      </c>
      <c r="F38" s="227"/>
      <c r="G38" s="218" t="str">
        <f>IF(F38="","",IF(D38&gt;F38,"+",IF(D38&lt;F38,"-","=")))</f>
        <v/>
      </c>
      <c r="H38" s="219" t="s">
        <v>279</v>
      </c>
    </row>
    <row r="39" spans="2:8" x14ac:dyDescent="0.25">
      <c r="B39" s="214" t="s">
        <v>276</v>
      </c>
      <c r="C39" s="214" t="s">
        <v>280</v>
      </c>
      <c r="D39" s="228">
        <v>4595</v>
      </c>
      <c r="E39" s="216" t="s">
        <v>281</v>
      </c>
      <c r="F39" s="229"/>
      <c r="G39" s="218" t="str">
        <f>IF(F39="","",IF(D39&gt;F39,"+",IF(D39&lt;F39,"-","=")))</f>
        <v/>
      </c>
      <c r="H39" s="219"/>
    </row>
    <row r="40" spans="2:8" ht="23.4" x14ac:dyDescent="0.25">
      <c r="B40" s="214" t="s">
        <v>276</v>
      </c>
      <c r="C40" s="214" t="s">
        <v>282</v>
      </c>
      <c r="D40" s="222">
        <v>86</v>
      </c>
      <c r="E40" s="216" t="s">
        <v>247</v>
      </c>
      <c r="F40" s="223"/>
      <c r="G40" s="230" t="s">
        <v>283</v>
      </c>
      <c r="H40" s="219" t="s">
        <v>284</v>
      </c>
    </row>
  </sheetData>
  <mergeCells count="1">
    <mergeCell ref="B2:H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25"/>
  <sheetViews>
    <sheetView workbookViewId="0">
      <selection activeCell="B25" sqref="B25"/>
    </sheetView>
  </sheetViews>
  <sheetFormatPr defaultRowHeight="13.2" x14ac:dyDescent="0.25"/>
  <sheetData>
    <row r="2" spans="2:2" x14ac:dyDescent="0.25">
      <c r="B2" s="55" t="s">
        <v>285</v>
      </c>
    </row>
    <row r="4" spans="2:2" x14ac:dyDescent="0.25">
      <c r="B4" t="s">
        <v>286</v>
      </c>
    </row>
    <row r="6" spans="2:2" x14ac:dyDescent="0.25">
      <c r="B6" s="55" t="s">
        <v>287</v>
      </c>
    </row>
    <row r="7" spans="2:2" x14ac:dyDescent="0.25">
      <c r="B7" s="207"/>
    </row>
    <row r="8" spans="2:2" x14ac:dyDescent="0.25">
      <c r="B8" s="207" t="s">
        <v>288</v>
      </c>
    </row>
    <row r="9" spans="2:2" x14ac:dyDescent="0.25">
      <c r="B9" s="207" t="s">
        <v>289</v>
      </c>
    </row>
    <row r="11" spans="2:2" x14ac:dyDescent="0.25">
      <c r="B11" s="55" t="s">
        <v>290</v>
      </c>
    </row>
    <row r="13" spans="2:2" x14ac:dyDescent="0.25">
      <c r="B13" s="55" t="s">
        <v>291</v>
      </c>
    </row>
    <row r="16" spans="2:2" x14ac:dyDescent="0.25">
      <c r="B16" s="55" t="s">
        <v>292</v>
      </c>
    </row>
    <row r="18" spans="2:2" x14ac:dyDescent="0.25">
      <c r="B18" t="s">
        <v>293</v>
      </c>
    </row>
    <row r="19" spans="2:2" x14ac:dyDescent="0.25">
      <c r="B19" s="207"/>
    </row>
    <row r="20" spans="2:2" x14ac:dyDescent="0.25">
      <c r="B20" s="208" t="s">
        <v>294</v>
      </c>
    </row>
    <row r="21" spans="2:2" x14ac:dyDescent="0.25">
      <c r="B21" s="208" t="s">
        <v>295</v>
      </c>
    </row>
    <row r="23" spans="2:2" x14ac:dyDescent="0.25">
      <c r="B23" t="s">
        <v>296</v>
      </c>
    </row>
    <row r="25" spans="2:2" x14ac:dyDescent="0.25">
      <c r="B25" s="55" t="s">
        <v>297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E18"/>
  <sheetViews>
    <sheetView topLeftCell="B1" workbookViewId="0">
      <selection activeCell="F22" sqref="F22"/>
    </sheetView>
  </sheetViews>
  <sheetFormatPr defaultRowHeight="13.2" x14ac:dyDescent="0.25"/>
  <cols>
    <col min="2" max="2" width="34" customWidth="1"/>
    <col min="3" max="3" width="70" customWidth="1"/>
    <col min="4" max="5" width="12" customWidth="1"/>
  </cols>
  <sheetData>
    <row r="1" spans="2:5" ht="16.8" customHeight="1" x14ac:dyDescent="0.3">
      <c r="B1" s="192" t="s">
        <v>298</v>
      </c>
    </row>
    <row r="2" spans="2:5" x14ac:dyDescent="0.25">
      <c r="B2" s="258" t="s">
        <v>299</v>
      </c>
      <c r="C2" s="232"/>
      <c r="D2" s="232"/>
      <c r="E2" s="232"/>
    </row>
    <row r="3" spans="2:5" x14ac:dyDescent="0.25">
      <c r="B3" s="257" t="s">
        <v>300</v>
      </c>
      <c r="C3" s="232"/>
      <c r="D3" s="232"/>
      <c r="E3" s="232"/>
    </row>
    <row r="4" spans="2:5" x14ac:dyDescent="0.25">
      <c r="B4" s="258" t="s">
        <v>301</v>
      </c>
      <c r="C4" s="232"/>
      <c r="D4" s="232"/>
      <c r="E4" s="232"/>
    </row>
    <row r="5" spans="2:5" x14ac:dyDescent="0.25">
      <c r="B5" s="258" t="s">
        <v>302</v>
      </c>
      <c r="C5" s="232"/>
      <c r="D5" s="232"/>
      <c r="E5" s="232"/>
    </row>
    <row r="6" spans="2:5" x14ac:dyDescent="0.25">
      <c r="B6" s="258" t="s">
        <v>303</v>
      </c>
      <c r="C6" s="232"/>
      <c r="D6" s="232"/>
      <c r="E6" s="232"/>
    </row>
    <row r="7" spans="2:5" x14ac:dyDescent="0.25">
      <c r="B7" s="258" t="s">
        <v>304</v>
      </c>
      <c r="C7" s="232"/>
      <c r="D7" s="232"/>
      <c r="E7" s="232"/>
    </row>
    <row r="8" spans="2:5" x14ac:dyDescent="0.25">
      <c r="B8" s="258" t="s">
        <v>305</v>
      </c>
      <c r="C8" s="232"/>
      <c r="D8" s="232"/>
      <c r="E8" s="232"/>
    </row>
    <row r="9" spans="2:5" x14ac:dyDescent="0.25">
      <c r="B9" s="257" t="s">
        <v>306</v>
      </c>
      <c r="C9" s="232"/>
      <c r="D9" s="232"/>
      <c r="E9" s="232"/>
    </row>
    <row r="11" spans="2:5" x14ac:dyDescent="0.25">
      <c r="B11" s="257" t="s">
        <v>307</v>
      </c>
      <c r="C11" s="232"/>
      <c r="D11" s="232"/>
      <c r="E11" s="232"/>
    </row>
    <row r="13" spans="2:5" x14ac:dyDescent="0.25">
      <c r="B13" s="193" t="s">
        <v>308</v>
      </c>
      <c r="C13" s="193" t="s">
        <v>309</v>
      </c>
    </row>
    <row r="14" spans="2:5" ht="22.8" customHeight="1" x14ac:dyDescent="0.25">
      <c r="B14" s="194" t="s">
        <v>310</v>
      </c>
      <c r="C14" s="195" t="s">
        <v>311</v>
      </c>
    </row>
    <row r="15" spans="2:5" ht="26.4" customHeight="1" x14ac:dyDescent="0.25">
      <c r="B15" s="194" t="s">
        <v>312</v>
      </c>
      <c r="C15" s="195" t="s">
        <v>313</v>
      </c>
    </row>
    <row r="16" spans="2:5" ht="22.8" customHeight="1" x14ac:dyDescent="0.25">
      <c r="B16" s="194" t="s">
        <v>314</v>
      </c>
      <c r="C16" s="195" t="s">
        <v>315</v>
      </c>
    </row>
    <row r="17" spans="2:3" ht="34.200000000000003" customHeight="1" x14ac:dyDescent="0.25">
      <c r="B17" s="194" t="s">
        <v>316</v>
      </c>
      <c r="C17" s="195" t="s">
        <v>317</v>
      </c>
    </row>
    <row r="18" spans="2:3" ht="22.8" customHeight="1" x14ac:dyDescent="0.25">
      <c r="B18" s="194" t="s">
        <v>318</v>
      </c>
      <c r="C18" s="195" t="s">
        <v>319</v>
      </c>
    </row>
  </sheetData>
  <mergeCells count="9">
    <mergeCell ref="B11:E11"/>
    <mergeCell ref="B3:E3"/>
    <mergeCell ref="B5:E5"/>
    <mergeCell ref="B2:E2"/>
    <mergeCell ref="B9:E9"/>
    <mergeCell ref="B8:E8"/>
    <mergeCell ref="B4:E4"/>
    <mergeCell ref="B6:E6"/>
    <mergeCell ref="B7:E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placements (enrichi)</vt:lpstr>
      <vt:lpstr>placements (enrichi) (2)</vt:lpstr>
      <vt:lpstr>Correlations marches</vt:lpstr>
      <vt:lpstr>GO-NOGO</vt:lpstr>
      <vt:lpstr>Audit qualite GO-NOGO</vt:lpstr>
      <vt:lpstr>Contexte marche</vt:lpstr>
      <vt:lpstr>definitions</vt:lpstr>
      <vt:lpstr>Supports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laurent perier</dc:creator>
  <cp:lastModifiedBy>laurent perier</cp:lastModifiedBy>
  <dcterms:created xsi:type="dcterms:W3CDTF">2026-06-27T13:55:33Z</dcterms:created>
  <dcterms:modified xsi:type="dcterms:W3CDTF">2026-08-31T16:51:29Z</dcterms:modified>
</cp:coreProperties>
</file>